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F279" i="4"/>
  <c r="F277"/>
  <c r="F276"/>
  <c r="F268"/>
  <c r="F267"/>
  <c r="F265"/>
  <c r="F261"/>
  <c r="H79"/>
  <c r="I79"/>
  <c r="H80"/>
  <c r="H81"/>
  <c r="H82"/>
  <c r="I82"/>
  <c r="H83"/>
  <c r="H84"/>
  <c r="H85"/>
  <c r="I85"/>
  <c r="H86"/>
  <c r="H87"/>
  <c r="H88"/>
  <c r="I88"/>
  <c r="H89"/>
  <c r="H90"/>
  <c r="H102"/>
  <c r="I102"/>
  <c r="H103"/>
  <c r="I103"/>
  <c r="H104"/>
  <c r="H105"/>
  <c r="H107"/>
  <c r="G108"/>
  <c r="H108"/>
  <c r="I108"/>
  <c r="G109"/>
  <c r="H109"/>
  <c r="I109"/>
  <c r="H110"/>
  <c r="G111"/>
  <c r="H111"/>
  <c r="I111"/>
  <c r="G112"/>
  <c r="H112"/>
  <c r="I112"/>
  <c r="H113"/>
  <c r="H115"/>
  <c r="H116"/>
  <c r="I116"/>
  <c r="H117"/>
  <c r="I117"/>
  <c r="H118"/>
  <c r="H119"/>
  <c r="I119"/>
  <c r="H120"/>
  <c r="I120"/>
  <c r="H121"/>
  <c r="I121"/>
  <c r="H122"/>
  <c r="I122"/>
  <c r="H123"/>
  <c r="H124"/>
  <c r="I124"/>
  <c r="H125"/>
  <c r="I125"/>
  <c r="H126"/>
  <c r="I126"/>
  <c r="H127"/>
  <c r="I127"/>
  <c r="H128"/>
  <c r="H129"/>
  <c r="H131"/>
  <c r="H132"/>
  <c r="I132"/>
  <c r="H133"/>
  <c r="I133"/>
  <c r="H134"/>
  <c r="H135"/>
  <c r="I135"/>
  <c r="H136"/>
  <c r="I136"/>
  <c r="H137"/>
  <c r="H139"/>
  <c r="H140"/>
  <c r="I140"/>
  <c r="H141"/>
  <c r="I141"/>
  <c r="H142"/>
  <c r="H143"/>
  <c r="I143"/>
  <c r="H144"/>
  <c r="I144"/>
  <c r="H145"/>
  <c r="I145"/>
  <c r="H149"/>
  <c r="I149"/>
  <c r="H150"/>
  <c r="I150"/>
  <c r="H151"/>
  <c r="I151"/>
  <c r="H152"/>
  <c r="I152"/>
  <c r="H153"/>
  <c r="H154"/>
  <c r="H155"/>
  <c r="I155"/>
  <c r="H156"/>
  <c r="I156"/>
  <c r="H157"/>
  <c r="I157"/>
  <c r="H158"/>
  <c r="I158"/>
  <c r="H159"/>
  <c r="H168"/>
  <c r="I168"/>
  <c r="H169"/>
  <c r="I169"/>
  <c r="H170"/>
  <c r="I170"/>
  <c r="H179"/>
  <c r="I179"/>
  <c r="H180"/>
  <c r="H181"/>
  <c r="H183"/>
  <c r="H185"/>
  <c r="H186"/>
  <c r="H188"/>
  <c r="H190"/>
  <c r="H192"/>
  <c r="H194"/>
  <c r="H195"/>
  <c r="H196"/>
  <c r="H198"/>
  <c r="H200"/>
  <c r="H201"/>
  <c r="H202"/>
  <c r="H203"/>
  <c r="H204"/>
  <c r="H206"/>
  <c r="H207"/>
  <c r="D261"/>
  <c r="E261"/>
  <c r="D265"/>
  <c r="E265"/>
  <c r="D267"/>
  <c r="E267"/>
  <c r="D268"/>
  <c r="E268"/>
  <c r="D269"/>
  <c r="E269"/>
  <c r="D271"/>
  <c r="E271"/>
  <c r="D275"/>
  <c r="E275"/>
  <c r="D276"/>
  <c r="E276"/>
  <c r="D277"/>
  <c r="E277"/>
  <c r="D279"/>
  <c r="E279"/>
  <c r="L207" l="1"/>
  <c r="L206"/>
  <c r="D205"/>
  <c r="L204"/>
  <c r="D203"/>
  <c r="D202"/>
  <c r="L201"/>
  <c r="L200"/>
  <c r="D199"/>
  <c r="D198"/>
  <c r="D197"/>
  <c r="L196"/>
  <c r="D195"/>
  <c r="D194"/>
  <c r="D193"/>
  <c r="L192"/>
  <c r="D191"/>
  <c r="D190"/>
  <c r="D189"/>
  <c r="L188"/>
  <c r="D187"/>
  <c r="L186"/>
  <c r="L185"/>
  <c r="D184"/>
  <c r="L183"/>
  <c r="D182"/>
  <c r="D181"/>
  <c r="D180"/>
  <c r="D186" l="1"/>
  <c r="D200"/>
  <c r="D201"/>
  <c r="D204"/>
  <c r="D188"/>
  <c r="D206"/>
  <c r="D179"/>
  <c r="D185"/>
  <c r="D196"/>
  <c r="D183"/>
  <c r="D192"/>
  <c r="D207"/>
  <c r="D147"/>
  <c r="L145"/>
  <c r="K145"/>
  <c r="K140"/>
  <c r="L103"/>
  <c r="L102"/>
  <c r="L140"/>
  <c r="L133"/>
  <c r="L132"/>
  <c r="L127"/>
  <c r="L126"/>
  <c r="D146"/>
  <c r="K133"/>
  <c r="K132"/>
  <c r="K127"/>
  <c r="K126"/>
  <c r="K117"/>
  <c r="L85"/>
  <c r="K85"/>
  <c r="L88"/>
  <c r="K88"/>
  <c r="D155" l="1"/>
  <c r="L90"/>
  <c r="K90"/>
  <c r="L141"/>
  <c r="K104"/>
  <c r="D128" l="1"/>
  <c r="D123"/>
  <c r="D107"/>
  <c r="D106"/>
  <c r="E111" l="1"/>
  <c r="E108"/>
  <c r="D144"/>
  <c r="D143"/>
  <c r="K134"/>
  <c r="L134"/>
  <c r="K128"/>
  <c r="D131"/>
  <c r="K110"/>
  <c r="D104" l="1"/>
  <c r="D90"/>
  <c r="D89"/>
  <c r="D88"/>
  <c r="D87"/>
  <c r="D86"/>
  <c r="D85"/>
  <c r="D84"/>
  <c r="D83"/>
  <c r="D82"/>
  <c r="D81"/>
  <c r="D80"/>
  <c r="D79"/>
  <c r="D162"/>
  <c r="D145"/>
  <c r="D142"/>
  <c r="D140"/>
  <c r="D139"/>
  <c r="D137"/>
  <c r="D135"/>
  <c r="D134"/>
  <c r="D138" l="1"/>
  <c r="D136"/>
  <c r="D127"/>
  <c r="D129"/>
  <c r="D130"/>
  <c r="D126"/>
  <c r="D125"/>
  <c r="D124"/>
  <c r="D122"/>
  <c r="D121"/>
  <c r="D120"/>
  <c r="D119"/>
  <c r="D118"/>
  <c r="D113"/>
  <c r="D114"/>
  <c r="D115"/>
  <c r="D116"/>
  <c r="D110"/>
  <c r="D105"/>
  <c r="D133" l="1"/>
  <c r="D132"/>
  <c r="K141"/>
  <c r="J112"/>
  <c r="E112"/>
  <c r="J111"/>
  <c r="J109"/>
  <c r="J108"/>
  <c r="E109"/>
  <c r="D103"/>
  <c r="L117"/>
  <c r="D117" s="1"/>
  <c r="D170"/>
  <c r="D164"/>
  <c r="D163"/>
  <c r="D166"/>
  <c r="D167"/>
  <c r="D168"/>
  <c r="D169"/>
  <c r="D165"/>
  <c r="D112" l="1"/>
  <c r="D102"/>
  <c r="D109"/>
  <c r="D111"/>
  <c r="D141"/>
  <c r="D157"/>
  <c r="D158"/>
  <c r="D151"/>
  <c r="D152"/>
  <c r="D160" l="1"/>
  <c r="D159"/>
  <c r="D156"/>
  <c r="D154"/>
  <c r="D153"/>
  <c r="D150"/>
  <c r="D149"/>
  <c r="D108"/>
</calcChain>
</file>

<file path=xl/comments1.xml><?xml version="1.0" encoding="utf-8"?>
<comments xmlns="http://schemas.openxmlformats.org/spreadsheetml/2006/main">
  <authors>
    <author>Автор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<sst xmlns="http://schemas.openxmlformats.org/spreadsheetml/2006/main" count="938" uniqueCount="469">
  <si>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</si>
  <si>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</si>
  <si>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</si>
  <si>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</si>
  <si>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</si>
  <si>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</si>
  <si>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</si>
  <si>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</si>
  <si>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</si>
  <si>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</si>
  <si>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</si>
  <si>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</si>
  <si>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</si>
  <si>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</si>
  <si>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</si>
  <si>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</si>
  <si>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</si>
  <si>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проведенных заказчиками самостоятельно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</si>
  <si>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</si>
  <si>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</si>
  <si>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</si>
  <si>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</si>
  <si>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</si>
  <si>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</si>
  <si>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</si>
  <si>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</si>
  <si>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</si>
  <si>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</si>
  <si>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 xml:space="preserve">Всего проведено процедур закупок (лотов), в том числе: 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</si>
  <si>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</si>
  <si>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</si>
  <si>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</si>
  <si>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</si>
  <si>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</si>
  <si>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</si>
  <si>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</si>
  <si>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</si>
  <si>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</si>
  <si>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</si>
  <si>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</si>
  <si>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</si>
  <si>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</si>
  <si>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</si>
  <si>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</si>
  <si>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</si>
  <si>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</si>
  <si>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</si>
  <si>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 xml:space="preserve">Всего объявлено процедур закупок (лотов), в том числе: 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</si>
  <si>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</si>
  <si>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</si>
  <si>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</si>
  <si>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</si>
  <si>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</si>
  <si>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</si>
  <si>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</si>
  <si>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</si>
  <si>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</si>
  <si>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</si>
  <si>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</si>
  <si>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</si>
  <si>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</si>
  <si>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 xml:space="preserve">Из строки 1 – объявлено повторных процедур закупок (лотов), в том числе: 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</si>
  <si>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</si>
  <si>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</si>
  <si>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</si>
  <si>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</si>
  <si>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</si>
  <si>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</si>
  <si>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</si>
  <si>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</si>
  <si>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</si>
  <si>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</si>
  <si>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</si>
  <si>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</si>
  <si>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</si>
  <si>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</si>
  <si>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</si>
  <si>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</si>
  <si>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</si>
  <si>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</si>
  <si>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</si>
  <si>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</si>
  <si>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</si>
  <si>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</si>
  <si>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</si>
  <si>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</si>
  <si>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</si>
  <si>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</si>
  <si>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</si>
  <si>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</si>
  <si>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</si>
  <si>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</si>
  <si>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</si>
  <si>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</si>
  <si>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</si>
  <si>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</si>
  <si>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 xml:space="preserve">Из строки 18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</si>
  <si>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t>Из строки 21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</si>
  <si>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II. Информация о планировании закупок</t>
  </si>
  <si>
    <t>Общее годовое количество закупок, предусмотренных планами-графиками на 2016 год, в том числе:</t>
  </si>
  <si>
    <t>общее годовое количество закупок (лотов), предусмотренных планами-графиками на 2016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</si>
  <si>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</si>
  <si>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Количество закупок, предусмотренных планами-графиками в I квартале 2016 года, в том числе:</t>
  </si>
  <si>
    <t>количество закупок (лотов), предусмотренных планами-графиками в I квартале 2016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</si>
  <si>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 I квартале 2016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</si>
  <si>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2016 год, в том числе:</t>
  </si>
  <si>
    <t>суммарная начальная (максимальная) цена контрактов по закупкам, предусмотренных планами-графиками на 2016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</si>
  <si>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</si>
  <si>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 I квартале 2016 года, в том числе:</t>
  </si>
  <si>
    <t>суммарная начальная (максимальная) цена контрактов по закупкам, предусмотренных планами-графиками в I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</si>
  <si>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 I квартале 2016 года, с полным или частичным финансированием за счет средств межбюджетных трансфертов из федерального бюджета</t>
  </si>
  <si>
    <t>открытые двухэтапные</t>
  </si>
  <si>
    <t>Совокупный годовой объем закупок на 2015 год</t>
  </si>
  <si>
    <t>18</t>
  </si>
  <si>
    <t>Информация по процедурам с предоставлением преференций</t>
  </si>
  <si>
    <t>Стоимость заключенных контрактов с фактическим предоставлением преимуществ организациям инвалидов в отношении предлагаемой цены контракта</t>
  </si>
  <si>
    <t>Стоимость заключенных контрактов с фактическим предоставлением преимуществ  учреждениям и предприятиям уголовно-исполнительной системы в отношении предлагаемой цены контракта</t>
  </si>
  <si>
    <t>Количество заключенных контрактов по процедурам закупок, предусматривающих требование о предоставлении преимуществ организациям инвалидов в отношении предлагаемой цены контракта</t>
  </si>
  <si>
    <t>Колиечство заключенных контрактов по процедурам закупок, предусматривающих требование о предоставлении преимуществ учреждениям и предприятиям уголовно-исполнительной системы  в отношении предлагаемой цены контракта</t>
  </si>
  <si>
    <t>Колиечство заключенных контрактов по процедурам закупок, предусматривающих требование о предоставлении преимуществ в отношении товаров российского, армянского, белорусского и (или) казахстанского происхождения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</si>
  <si>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</si>
  <si>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</si>
  <si>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</si>
  <si>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</si>
  <si>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</si>
  <si>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</si>
  <si>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</si>
  <si>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</si>
  <si>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</si>
  <si>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</si>
  <si>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</si>
  <si>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</si>
  <si>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</si>
  <si>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</si>
  <si>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</si>
  <si>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</si>
  <si>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</si>
  <si>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</si>
  <si>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</si>
  <si>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</si>
  <si>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</si>
  <si>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</si>
  <si>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</si>
  <si>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</si>
  <si>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</si>
  <si>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</si>
  <si>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</si>
  <si>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</si>
  <si>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</si>
  <si>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</si>
  <si>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</si>
  <si>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</si>
  <si>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</si>
  <si>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</si>
  <si>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</si>
  <si>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</si>
  <si>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</si>
  <si>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</si>
  <si>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</si>
  <si>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</si>
  <si>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</si>
  <si>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</si>
  <si>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</si>
  <si>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</si>
  <si>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</si>
  <si>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</si>
  <si>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</si>
  <si>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</si>
  <si>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</si>
  <si>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</si>
  <si>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</si>
  <si>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</si>
  <si>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</si>
  <si>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</si>
  <si>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</si>
  <si>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</si>
  <si>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</si>
  <si>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</si>
  <si>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</si>
  <si>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</si>
  <si>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</si>
  <si>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</si>
  <si>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</si>
  <si>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Контрольно-счетная палата городского округа город Октябрьский Республики Башкортостан</t>
  </si>
  <si>
    <t>Финансовое управление администрации городского округа город Октябрьский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</si>
  <si>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в том числе:</t>
  </si>
  <si>
    <t>1.1.</t>
  </si>
  <si>
    <t>общее годовое количество закупок (лотов),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</si>
  <si>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закупок, предусмотренных планами-графиками в I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</si>
  <si>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 I квартале 2016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</si>
  <si>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</si>
  <si>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</si>
  <si>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</si>
  <si>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в I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</si>
  <si>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 I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</si>
  <si>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</si>
  <si>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Башкортостан/Государственный комитет Республики Башкортостан по размещению государственных заказов (в рамках условий о централизации закупок)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</si>
  <si>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</si>
  <si>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Башкортостан/Государственный комитет Республики Башкортостан по размещению государственных заказов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</si>
  <si>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</si>
  <si>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Башкортостан/Государственный комитет Республики Башкортостан по размещению государственных заказов (в рамках условий о централизации закупок)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</si>
  <si>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</si>
  <si>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</si>
  <si>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</si>
  <si>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</si>
  <si>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</si>
  <si>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Башкортостан/Государственный комитет Республики Башкортостан по размещению государственных заказов (в рамках условий о централизации закупок)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</si>
  <si>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</si>
  <si>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Башкортостан/Государственный комитет Республики Башкортостан по размещению государственных заказов (в рамках условий о централизации закупок)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</si>
  <si>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</si>
  <si>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</si>
  <si>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</si>
  <si>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</si>
  <si>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Башкортостан/Государственный комитет Республики Башкортостан по размещению государственных заказов (в рамках условий о централизации закупок)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</si>
  <si>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</si>
  <si>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№п/п</t>
  </si>
  <si>
    <t>Кол-во, ед.</t>
  </si>
  <si>
    <t>Стоимость, тыс. рублей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</si>
  <si>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</si>
  <si>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</si>
  <si>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</si>
  <si>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</si>
  <si>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</si>
  <si>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</si>
  <si>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>1.</t>
  </si>
  <si>
    <t>0</t>
  </si>
  <si>
    <t>Результат общественного обсуждения закупки(внесение изменений в закупку/ отмена закупки/ закупка осуществлена без изменений)</t>
  </si>
  <si>
    <t xml:space="preserve">V. Осуществление банковского сопровождения контрактов </t>
  </si>
  <si>
    <t xml:space="preserve">Всего заключено контрактов (договоров), предусматривающих условия банковского сопровождения, 
в том числе:
</t>
  </si>
  <si>
    <t>Проведение банком мониторинга расчетов в рамках исполнения контракта (стандартное банковское сопровождение)</t>
  </si>
  <si>
    <t xml:space="preserve">оказание банком услуг, позволяющих обеспечить соответствие принимаемых товаров, работ (их результатов), услуг 
условиям контракта (расширенное банковское сопровождение)
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</si>
  <si>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</si>
  <si>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</si>
  <si>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</si>
  <si>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</si>
  <si>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Выполнение работ по строительству объекта: «Улица № 9 общегородского значения на участке от ул. Шашина до ул. Кортунова в г. Октябрьский Республики Башкортостан (корректировка с выделением 1 пускового комплекса)»</t>
  </si>
  <si>
    <t xml:space="preserve">Стоимость, 
тыс. рублей
</t>
  </si>
  <si>
    <t>Контракты с расширенным банковским сопровождением</t>
  </si>
  <si>
    <t>VI. Информация о проблемах, проявившихся при реализации законодательства о контрактной системе в сфере закупок</t>
  </si>
  <si>
    <t>Краткое описание проблемы с указанием конкретных норм (положений) законодательства о контрактной системе, при реализации которых они проявились</t>
  </si>
  <si>
    <t xml:space="preserve">Предложения по решению проблемы </t>
  </si>
  <si>
    <t>Внести соответствующие изменения в Федеральный закон № 44 на законодательном уровне</t>
  </si>
  <si>
    <t xml:space="preserve">В соответствии с частью 19 статьи 95 44-ФЗ поставщик (подрядчик, исполнитель) вправе принять решение об одностороннем отказе от исполнения контракта по основаниям, предусмотренным ГК РФ. Указанное решение вступает в силу и контракт считается расторгнутым через десять дней с даты надлежащего уведомления поставщиком (подрядчиком, исполнителем) заказчика об одностороннем отказе от исполнения контракта.
В случае если в течение десятидневного срока с даты надлежащего уведомления заказчика о принятом решении, нарушения условий контракта устранены, поставщик (подрядчик, исполнитель) обязан отменить не вступившее в силу решение об одностороннем отказе от исполнения контракта.
На практике возникают ситуации, когда поставщик (подрядчик, исполнитель), намерено с целью  уклонения от исполнения контракта, принимает решение об одностороннем отказе на основании несуществующих нарушений со стороны заказчика, либо по основаниям, не предусмотренным ГК РФ. При этом в данной ситуации даже при направлении заказчиком возражений на данное решение, истечение 10 дневного срока в любом случае влечет вступление данного решения в законную силу, поскольку отменить его может только поставщик (ч.ч.21,22 ст.95). Обжаловать данное решение заказчик вправе только в судебном порядке. 
В связи с указанным, считаем необходимым внести изменения в Федеральный закон 44-ФЗ, предусматривающие подробный досудебный порядок разрешения указанных споров, а также право заказчика обжаловать незаконные решения об односторонне отказе в федеральный орган исполнительной власти, уполномоченный на осуществление контроля в сфере закупок в сокращенные сроки.
</t>
  </si>
  <si>
    <t>Перечень муниципальных нормативных правовых актов,                                                                                          принятых в развитие контрактной системы в сфере закупок</t>
  </si>
  <si>
    <t>Наименование и реквизиты нормативного правового акта</t>
  </si>
  <si>
    <t>Краткое описание нормативного правового акта</t>
  </si>
  <si>
    <t>Постановление администрации городского округа город Октябрьский Республики Башкортостан от 14.04.2015 № 1713 «Об утверждении Порядка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Башкортостан»</t>
  </si>
  <si>
    <t>Определены сроки формирования и утверждения планов закупок, представлена форма документа.</t>
  </si>
  <si>
    <t>Постановление администрации городского округа город Октябрьский Республики Башкортостан от 14.04.2015 № 1714 «Об утверждении Порядка формирования, утверждения и ведения планов-графиков закупок для обеспечения муниципальных нужд городского округа город Октябрьский Республики Башкортостан»</t>
  </si>
  <si>
    <t>Определены сроки формирования и утверждения планов-графиков закупок, представлена форма документа</t>
  </si>
  <si>
    <t>Постановление администрации городского округа город Октябрьский Республики Башкортостан от 05.06.2015 № 2783 «Об утверждении Порядка осуществления ведомственного контроля в сфере закупок товаров, работ, услуг для обеспечения муниципальных нужд городского округа город Октябрьский Республики Башкортостан»</t>
  </si>
  <si>
    <t>Определен порядок осуществления главными распорядителями бюджетных средств ведомственного контроля в сфере закупок в отношении подведомственных учреждений</t>
  </si>
  <si>
    <t>Постановление администрации городского округа город Октябрьский Республики Башкортостан от 28.08.2015 № 4082 «Об утверждении Порядка взаимодействия финансового управления администрации городского округа город Октябрьский Республики Башкортостан с муниципальными заказчиками городского округа при заключении муниципальных контрактов по закупкам товаров, работ, услуг для обеспечения муниципальных нужд с единственным поставщиком (исполнителем, подрядчиком)»</t>
  </si>
  <si>
    <t>Определен порядок согласования возможности заключения муниципального контракта с единственным поставщиком (подрядчиком, исполнителем); рассмотрение уведомления о заключении муниципального контракта с единственным поставщиком (подрядчиком, исполнителем); предоставление муниципальным заказчиком информации о заключении контрактов с единственным поставщиком (подрядчиком, исполнителем)</t>
  </si>
  <si>
    <t>Постановление администрации городского округа город Октябрьский Республики Башкортостан от 16.10.2015 № 4733 «Об утверждении порядка формирования, утверждения и ведения плана-графика закупок товаров, работ, услуг для муниципальных нужд городского округа город Октябрьский Республики Башкортостан»</t>
  </si>
  <si>
    <t>Определен порядок формирования, утверждения и ведения плана-графика закупок товаров, работ, услуг для муниципальных нужд городского округа город Октябрьский Республики Башкортостан.</t>
  </si>
  <si>
    <t>VII.Информация об исполнении контрактов</t>
  </si>
  <si>
    <t>Стоимость выполненных обязательств, тыс. рублей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</si>
  <si>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</si>
  <si>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</si>
  <si>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</si>
  <si>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</si>
  <si>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</si>
  <si>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по причине несоблюдения поставщиком (подрядчиком, исполнителем) сроков исполнения контракта</t>
  </si>
  <si>
    <t>1.2.</t>
  </si>
  <si>
    <t>по соглашению сторон, из них:</t>
  </si>
  <si>
    <t>1.2.1.</t>
  </si>
  <si>
    <t>по причине некачественного исполнения контракта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</si>
  <si>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</si>
  <si>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</si>
  <si>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</si>
  <si>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</si>
  <si>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</si>
  <si>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</si>
  <si>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</si>
  <si>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</si>
  <si>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</si>
  <si>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</si>
  <si>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</si>
  <si>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</si>
  <si>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</si>
  <si>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</si>
  <si>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X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</si>
  <si>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</si>
  <si>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</si>
  <si>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</si>
  <si>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</si>
  <si>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</si>
  <si>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</si>
  <si>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</si>
  <si>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</si>
  <si>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 xml:space="preserve">VIII. Информация об основных причинах некачественного исполнения контрактов
</t>
  </si>
  <si>
    <t>Номер в реестре контрактов</t>
  </si>
  <si>
    <t>Наименование (описание) причины</t>
  </si>
  <si>
    <t>Работы предусмотренные контрактом не начаты. Исполнитель, не предоставил сведений (документов), подтверждающих начало выполнения работ, предусмотренных муниципальным контрактом</t>
  </si>
  <si>
    <t>Уклонение от подписания контракта</t>
  </si>
  <si>
    <t xml:space="preserve">IX. Информация о действующих контрактных службах 
(контрактных управляющих)
</t>
  </si>
  <si>
    <t>Количество человек</t>
  </si>
  <si>
    <t>Общая численность контрактных служб (контрактных управляющих)</t>
  </si>
  <si>
    <t>Численность сотрудников контрактных служб (контрактных управляющих), прошедших в отчетном периоде обучение (повышение квалификации или профессиональную переподготовку) в сфере закупок в соответствии с законодательством о контрактной системе</t>
  </si>
  <si>
    <t>Численность сотрудников контрактных служб (контрактных управляющих), имеющих необходимую квалификационную подготовку в сфере закупок в соответствии с законодательством о контрактной системе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</si>
  <si>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</si>
  <si>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</si>
  <si>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</si>
  <si>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</si>
  <si>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</si>
  <si>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</si>
  <si>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0265037278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</si>
  <si>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</si>
  <si>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</si>
  <si>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</si>
  <si>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</si>
  <si>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</si>
  <si>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</si>
  <si>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</si>
  <si>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</si>
  <si>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</si>
  <si>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</si>
  <si>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</si>
  <si>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</si>
  <si>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</si>
  <si>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</si>
  <si>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</si>
  <si>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</si>
  <si>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</si>
  <si>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</si>
  <si>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</si>
  <si>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</si>
  <si>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</si>
  <si>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</si>
  <si>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</si>
  <si>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</si>
  <si>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</si>
  <si>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</si>
  <si>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</si>
  <si>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3 «Дюймовочка» городского округа город Октябрьский Республики Башкортостан</t>
  </si>
  <si>
    <t>0265016976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</si>
  <si>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</si>
  <si>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</si>
  <si>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</si>
  <si>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</si>
  <si>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</si>
  <si>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</si>
  <si>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</si>
  <si>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</si>
  <si>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</si>
  <si>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</si>
  <si>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</si>
  <si>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</si>
  <si>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</si>
  <si>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</si>
  <si>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</si>
  <si>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</si>
  <si>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</si>
  <si>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</si>
  <si>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</si>
  <si>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</si>
  <si>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</si>
  <si>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</si>
  <si>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>Муниципальное бюджетное дошкольное образовательное учреждение детский сад № 27 «Надежда» городского округа город Октябрьский Республики Башкортостан</t>
  </si>
  <si>
    <t xml:space="preserve"> 0265017112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</si>
  <si>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</si>
  <si>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</si>
  <si>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</si>
  <si>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</si>
  <si>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31 «Чулпан» городского округа город Октябрьский Республики Башкортостан </t>
  </si>
  <si>
    <t>0265017137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</si>
  <si>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</si>
  <si>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</si>
  <si>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 xml:space="preserve">Муниципальное бюджетное общеобразовательное учреждение дополнительного образования детей «Станция юных техников» городского округа город Октябрьский Республики Башкортостан </t>
  </si>
  <si>
    <t>0265016334</t>
  </si>
  <si>
    <t xml:space="preserve">Муниципальное бюджетное общеобразовательное учреждение дополнительного образования детей «Станция детского и юношеского туризма и экскурсий» городского округа город Октябрьский Республики Башкортостан </t>
  </si>
  <si>
    <t>0265016341</t>
  </si>
  <si>
    <t xml:space="preserve">Муниципальное бюджетное общеобразовательное учреждение дополнительного образования детей «Дворец детского и юношеского творчества» городского округа город Октябрьский Республики Башкортостан </t>
  </si>
  <si>
    <t>0265012932</t>
  </si>
  <si>
    <t xml:space="preserve">Муниципальное бюджетное общеобразовательное учреждение дополнительного образования детей «Детская хореографическая школа» городского округа город Октябрьский Республики Башкортостан </t>
  </si>
  <si>
    <t>0265009457</t>
  </si>
  <si>
    <t xml:space="preserve">Муниципальное бюджетное общеобразовательное учреждение дополнительного образования детей «Детский эколого-биологический центр» городского округа город Октябрьский Республики Башкортостан </t>
  </si>
  <si>
    <t>0265016214</t>
  </si>
  <si>
    <t xml:space="preserve">Муниципальное казенное учреждение Отдел образования администрации городского округа город Октябрьский Республики Башкортостан </t>
  </si>
  <si>
    <t>0265027470</t>
  </si>
  <si>
    <t>по результатам   процедур закупок (лотов), проведённых заказчиками самостоятельно</t>
  </si>
  <si>
    <t>VI. Информация об осуществлении муниципальных закупок за счет межбюджетных трансфертов                                                                                                                                     из бюджета Республики Башкортостан</t>
  </si>
  <si>
    <t xml:space="preserve">V. Осуществление общественного обсуждения закупок 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</si>
  <si>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</si>
  <si>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</si>
  <si>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</si>
  <si>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</si>
  <si>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</si>
  <si>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</si>
  <si>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</si>
  <si>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</si>
  <si>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</si>
  <si>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</si>
  <si>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</si>
  <si>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</si>
  <si>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</si>
  <si>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</si>
  <si>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</si>
  <si>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</si>
  <si>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</si>
  <si>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</si>
  <si>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</si>
  <si>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</si>
  <si>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</si>
  <si>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</si>
  <si>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</si>
  <si>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</si>
  <si>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</si>
  <si>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образовательное учреждение дополнительного образования детей   «Детско-юношеская спортивная школа № 1»городского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</si>
  <si>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детей   «Специализированная детско-юношеская спортивная школа № 3» 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</si>
  <si>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детей   «Детско-юношеская спортивная школа № 2 по шахматам»городского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</si>
  <si>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</si>
  <si>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Муниципальное бюджетное дошкольное образовательное учреждение детский сад № 6 «Чебурашка»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</si>
  <si>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</si>
  <si>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</si>
  <si>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</si>
  <si>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</si>
  <si>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 xml:space="preserve"> Х.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</si>
  <si>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 xml:space="preserve">. 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</si>
  <si>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</si>
  <si>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</si>
  <si>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</si>
  <si>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</si>
  <si>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r>
      <t>Объем закупок</t>
    </r>
    <r>
      <rPr>
        <b/>
        <sz val="12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12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</si>
  <si>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12"/>
        <color theme="1"/>
        <rFont val="Times New Roman"/>
        <family val="1"/>
        <charset val="204"/>
      </rPr>
      <t>субъектами малого предпринимательства</t>
    </r>
  </si>
  <si>
    <r>
      <t xml:space="preserve">Из строки 15 – 
Стоимость заключенных контрактов по результатам закупочных процедур, проведенных  для  </t>
    </r>
    <r>
      <rPr>
        <b/>
        <sz val="12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12"/>
        <color theme="1"/>
        <rFont val="Times New Roman"/>
        <family val="1"/>
        <charset val="204"/>
      </rPr>
      <t>, в том числе:</t>
    </r>
  </si>
  <si>
    <t>Суммарная начальная цена контрактов по  процедурам закупок, предусматривающих требование о предоставлении преимуществ организациям инвалидов в отношении предлагаемой цены контракта</t>
  </si>
  <si>
    <t>Суммарная начальная цена контрактов по  процедурам закупок, предусматривающих требование о предоставлении преимуществ учреждениям и предприятиям уголовно-исполнительной системы  в отношении предлагаемой цены контракта</t>
  </si>
  <si>
    <t>Суммарная начальная цена контрактов по  процедурам закупок, предусматривающих требование о предоставлении преимуществ в отношении товаров российского, армянского, белорусского и (или) казахстанского происхождения</t>
  </si>
  <si>
    <t>Стоимость заключенных контрактов с фактическим предоставлением преимуществ   в отношении товаров российского, армянского, белорусского и (или) казахстанского происхождения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</si>
  <si>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</si>
  <si>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</si>
  <si>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</si>
  <si>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</si>
  <si>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</si>
  <si>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</si>
  <si>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</si>
  <si>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Информация об основных (системных) нарушениях
законодательства о контрактной системе, выявленных
в ходе контрольных мероприятий
</t>
  </si>
  <si>
    <t xml:space="preserve">Наименование и краткое описание
основной (системной) проблемы
</t>
  </si>
  <si>
    <t xml:space="preserve">Предложения по
решению проблемы
(совершенствованию законодательства о
контрактной системе)
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</si>
  <si>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(срока размещения в единой информационной системе (официальном сайте) информации об исполнении контракта или о расторжении контракта)</t>
  </si>
  <si>
    <t>Увеличить сроки размещения информации в единой информационной системе (официальном сайте)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</si>
  <si>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</si>
  <si>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>Исключить необходимость размещения в единой информационной системе отчета о результатах отдельного этапа исполнения контракта</t>
  </si>
  <si>
    <t xml:space="preserve">Количество,
ед.
</t>
  </si>
  <si>
    <t>Стоимость,         тыс. руб.</t>
  </si>
  <si>
    <t xml:space="preserve">Проверено закупок - всего,
в том числе:
</t>
  </si>
  <si>
    <t xml:space="preserve">закупок, в которых выявлено несоблюдение заказчиками требований законодательства о контрактной системе к обоснованию (обоснованности) закупок(заполняется с 1 января 2017 года)
</t>
  </si>
  <si>
    <t>закупок, в которых выявлено несоблюдение заказчиками правил нормирования в сфере закупок</t>
  </si>
  <si>
    <t>1.3</t>
  </si>
  <si>
    <t>закупок, в которых выявлены нарушения обоснования заказчиком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</si>
  <si>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1.4</t>
  </si>
  <si>
    <t>закупок, в которых выявлены нарушения при применении заказчиком мер ответственности и совершении иных действий в случае нарушения поставщиком (подрядчиком, исполнителем) условий контракта</t>
  </si>
  <si>
    <t>1.5</t>
  </si>
  <si>
    <t>закупок, в которых выявлено несоответствие поставленного товара, выполненной работы (ее результата) или оказанной услуги условиям контракта</t>
  </si>
  <si>
    <t>1.6</t>
  </si>
  <si>
    <t>закупок, в которых выявлены нарушения в части 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</si>
  <si>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1.7</t>
  </si>
  <si>
    <t>закупок, в которых выявлено несоответствие использования поставленного товара, выполненной работы (ее результата) или оказанной услуги целям осуществления закупки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</si>
  <si>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</si>
  <si>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</si>
  <si>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</si>
  <si>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</si>
  <si>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</si>
  <si>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декабрь  2015 года</t>
  </si>
  <si>
    <t>Муниципальное бюджетное образовательное учреждение дополнительного образования детей   «Детско-юношеская спортивная школа № 4» городского округа город Октябрьский Республики Башкортостан,</t>
  </si>
  <si>
    <t xml:space="preserve">СВЕДЕНИЯ
о результатах осуществления внутреннего муниципального
финансового контроля
</t>
  </si>
  <si>
    <t xml:space="preserve">III. Информация об осуществлении муниципальных закупок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</si>
</sst>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1" applyFont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Border="1" applyAlignment="1">
      <alignment horizontal="center" vertical="center" wrapText="1"/>
    </xf>
    <xf numFmtId="165" fontId="4" fillId="5" borderId="11" xfId="0" applyNumberFormat="1" applyFont="1" applyFill="1" applyBorder="1" applyAlignment="1">
      <alignment horizontal="center" vertical="center" wrapText="1"/>
    </xf>
    <xf numFmtId="165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5" fontId="2" fillId="4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6" fillId="0" borderId="14" xfId="0" applyFont="1" applyBorder="1"/>
    <xf numFmtId="0" fontId="6" fillId="0" borderId="3" xfId="2" applyFont="1" applyBorder="1" applyAlignment="1">
      <alignment wrapText="1"/>
    </xf>
    <xf numFmtId="49" fontId="6" fillId="0" borderId="11" xfId="2" applyNumberFormat="1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49" fontId="6" fillId="0" borderId="20" xfId="2" applyNumberFormat="1" applyFont="1" applyBorder="1" applyAlignment="1">
      <alignment horizontal="center" vertical="top" wrapText="1"/>
    </xf>
    <xf numFmtId="0" fontId="6" fillId="0" borderId="14" xfId="2" applyFont="1" applyBorder="1" applyAlignment="1">
      <alignment wrapText="1"/>
    </xf>
    <xf numFmtId="49" fontId="8" fillId="0" borderId="0" xfId="0" applyNumberFormat="1" applyFont="1"/>
    <xf numFmtId="165" fontId="6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6" fillId="0" borderId="14" xfId="0" applyNumberFormat="1" applyFont="1" applyBorder="1"/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1" fontId="6" fillId="0" borderId="14" xfId="0" applyNumberFormat="1" applyFont="1" applyBorder="1"/>
    <xf numFmtId="0" fontId="11" fillId="0" borderId="0" xfId="0" applyFont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/>
    <xf numFmtId="0" fontId="4" fillId="0" borderId="0" xfId="0" applyFont="1"/>
    <xf numFmtId="0" fontId="4" fillId="0" borderId="0" xfId="0" applyFont="1" applyBorder="1"/>
    <xf numFmtId="0" fontId="8" fillId="0" borderId="12" xfId="0" applyFont="1" applyBorder="1"/>
    <xf numFmtId="164" fontId="8" fillId="0" borderId="0" xfId="1" applyFont="1"/>
    <xf numFmtId="0" fontId="8" fillId="0" borderId="0" xfId="0" applyFont="1" applyAlignment="1">
      <alignment wrapText="1"/>
    </xf>
    <xf numFmtId="49" fontId="8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65" fontId="6" fillId="5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5" fontId="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165" fontId="6" fillId="4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/>
    <xf numFmtId="49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165" fontId="6" fillId="0" borderId="14" xfId="0" applyNumberFormat="1" applyFont="1" applyBorder="1" applyAlignment="1">
      <alignment horizontal="center" wrapText="1"/>
    </xf>
    <xf numFmtId="4" fontId="6" fillId="0" borderId="14" xfId="2" applyNumberFormat="1" applyFont="1" applyBorder="1" applyAlignment="1">
      <alignment horizontal="center" vertical="center" wrapText="1"/>
    </xf>
    <xf numFmtId="49" fontId="6" fillId="0" borderId="14" xfId="2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49" fontId="6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6" fillId="0" borderId="14" xfId="2" applyFont="1" applyBorder="1" applyAlignment="1">
      <alignment horizontal="center" vertical="top" wrapText="1"/>
    </xf>
    <xf numFmtId="2" fontId="6" fillId="0" borderId="14" xfId="2" applyNumberFormat="1" applyFont="1" applyBorder="1" applyAlignment="1">
      <alignment horizontal="center" vertical="top" wrapText="1"/>
    </xf>
    <xf numFmtId="4" fontId="6" fillId="0" borderId="14" xfId="2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4" fontId="6" fillId="0" borderId="14" xfId="2" applyNumberFormat="1" applyFont="1" applyBorder="1" applyAlignment="1">
      <alignment horizontal="center" vertical="center" wrapText="1"/>
    </xf>
    <xf numFmtId="49" fontId="6" fillId="0" borderId="14" xfId="2" applyNumberFormat="1" applyFont="1" applyBorder="1" applyAlignment="1">
      <alignment horizontal="center" vertical="center" wrapText="1"/>
    </xf>
    <xf numFmtId="49" fontId="6" fillId="0" borderId="16" xfId="2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/>
    <xf numFmtId="0" fontId="4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4" fillId="0" borderId="13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9"/>
  <sheetViews>
    <sheetView tabSelected="1" zoomScale="74" zoomScaleNormal="74" workbookViewId="0">
      <selection activeCell="A96" sqref="A96:A100"/>
    </sheetView>
  </sheetViews>
  <sheetFormatPr defaultRowHeight="18.75"/>
  <cols>
    <col min="1" max="1" width="9.140625" style="44"/>
    <col min="2" max="2" width="36.5703125" style="71" customWidth="1"/>
    <col min="3" max="6" width="17" style="71" customWidth="1"/>
    <col min="7" max="12" width="17" style="63" customWidth="1"/>
    <col min="13" max="13" width="12.42578125" style="63" customWidth="1"/>
    <col min="14" max="16384" width="9.140625" style="52"/>
  </cols>
  <sheetData>
    <row r="2" spans="1:13" ht="45" customHeight="1">
      <c r="B2" s="161" t="s">
        <v>465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1" customHeight="1">
      <c r="B3" s="75"/>
      <c r="C3" s="75"/>
      <c r="D3" s="75"/>
      <c r="E3" s="75"/>
      <c r="F3" s="75"/>
      <c r="G3" s="60"/>
      <c r="H3" s="60"/>
      <c r="I3" s="60"/>
      <c r="J3" s="60"/>
      <c r="K3" s="60"/>
      <c r="L3" s="60"/>
      <c r="M3" s="60"/>
    </row>
    <row r="4" spans="1:13" ht="21" customHeight="1">
      <c r="B4" s="75"/>
      <c r="C4" s="75"/>
      <c r="D4" s="126" t="s">
        <v>134</v>
      </c>
      <c r="E4" s="126"/>
      <c r="F4" s="126"/>
      <c r="G4" s="126"/>
      <c r="H4" s="60"/>
      <c r="I4" s="60"/>
      <c r="J4" s="60"/>
      <c r="K4" s="60"/>
      <c r="L4" s="60"/>
      <c r="M4" s="60"/>
    </row>
    <row r="5" spans="1:13" ht="22.5" customHeight="1">
      <c r="B5" s="75"/>
      <c r="C5" s="75"/>
      <c r="D5" s="161"/>
      <c r="E5" s="161"/>
      <c r="F5" s="161"/>
      <c r="G5" s="161"/>
      <c r="H5" s="60"/>
      <c r="I5" s="60"/>
      <c r="J5" s="60"/>
      <c r="K5" s="60"/>
      <c r="L5" s="60"/>
      <c r="M5" s="60"/>
    </row>
    <row r="6" spans="1:13" ht="22.5" customHeight="1">
      <c r="A6" s="115" t="s">
        <v>136</v>
      </c>
      <c r="B6" s="125" t="s">
        <v>137</v>
      </c>
      <c r="C6" s="125"/>
      <c r="D6" s="125"/>
      <c r="E6" s="125"/>
      <c r="F6" s="125"/>
      <c r="G6" s="125"/>
      <c r="H6" s="125"/>
      <c r="I6" s="125"/>
      <c r="J6" s="125" t="s">
        <v>138</v>
      </c>
      <c r="K6" s="125"/>
      <c r="L6" s="60"/>
      <c r="M6" s="60"/>
    </row>
    <row r="7" spans="1:13" ht="24.95" customHeight="1">
      <c r="A7" s="115" t="s">
        <v>135</v>
      </c>
      <c r="B7" s="125" t="s">
        <v>463</v>
      </c>
      <c r="C7" s="125"/>
      <c r="D7" s="125"/>
      <c r="E7" s="125"/>
      <c r="F7" s="125"/>
      <c r="G7" s="125"/>
      <c r="H7" s="125"/>
      <c r="I7" s="125"/>
      <c r="J7" s="135" t="s">
        <v>306</v>
      </c>
      <c r="K7" s="135"/>
      <c r="L7" s="60"/>
      <c r="M7" s="60"/>
    </row>
    <row r="8" spans="1:13" ht="24.95" customHeight="1">
      <c r="A8" s="115" t="s">
        <v>49</v>
      </c>
      <c r="B8" s="125" t="s">
        <v>462</v>
      </c>
      <c r="C8" s="125"/>
      <c r="D8" s="125"/>
      <c r="E8" s="125"/>
      <c r="F8" s="125"/>
      <c r="G8" s="125"/>
      <c r="H8" s="125"/>
      <c r="I8" s="125"/>
      <c r="J8" s="135" t="s">
        <v>305</v>
      </c>
      <c r="K8" s="135"/>
      <c r="L8" s="60"/>
      <c r="M8" s="60"/>
    </row>
    <row r="9" spans="1:13" ht="24.95" customHeight="1">
      <c r="A9" s="115" t="s">
        <v>50</v>
      </c>
      <c r="B9" s="125" t="s">
        <v>183</v>
      </c>
      <c r="C9" s="125"/>
      <c r="D9" s="125"/>
      <c r="E9" s="125"/>
      <c r="F9" s="125"/>
      <c r="G9" s="125"/>
      <c r="H9" s="125"/>
      <c r="I9" s="125"/>
      <c r="J9" s="135" t="s">
        <v>307</v>
      </c>
      <c r="K9" s="135"/>
      <c r="L9" s="60"/>
      <c r="M9" s="60"/>
    </row>
    <row r="10" spans="1:13" ht="24.95" customHeight="1">
      <c r="A10" s="115" t="s">
        <v>51</v>
      </c>
      <c r="B10" s="125" t="s">
        <v>184</v>
      </c>
      <c r="C10" s="125"/>
      <c r="D10" s="125"/>
      <c r="E10" s="125"/>
      <c r="F10" s="125"/>
      <c r="G10" s="125"/>
      <c r="H10" s="125"/>
      <c r="I10" s="125"/>
      <c r="J10" s="135" t="s">
        <v>417</v>
      </c>
      <c r="K10" s="135"/>
      <c r="L10" s="60"/>
      <c r="M10" s="60"/>
    </row>
    <row r="11" spans="1:13" ht="45.95" customHeight="1">
      <c r="A11" s="115" t="s">
        <v>52</v>
      </c>
      <c r="B11" s="125" t="s">
        <v>379</v>
      </c>
      <c r="C11" s="125"/>
      <c r="D11" s="125"/>
      <c r="E11" s="125"/>
      <c r="F11" s="125"/>
      <c r="G11" s="125"/>
      <c r="H11" s="125"/>
      <c r="I11" s="125"/>
      <c r="J11" s="135" t="s">
        <v>380</v>
      </c>
      <c r="K11" s="135"/>
      <c r="L11" s="60"/>
      <c r="M11" s="60"/>
    </row>
    <row r="12" spans="1:13" ht="45.95" customHeight="1">
      <c r="A12" s="115" t="s">
        <v>58</v>
      </c>
      <c r="B12" s="125" t="s">
        <v>461</v>
      </c>
      <c r="C12" s="125"/>
      <c r="D12" s="125"/>
      <c r="E12" s="125"/>
      <c r="F12" s="125"/>
      <c r="G12" s="125"/>
      <c r="H12" s="125"/>
      <c r="I12" s="125"/>
      <c r="J12" s="135" t="s">
        <v>309</v>
      </c>
      <c r="K12" s="135"/>
      <c r="L12" s="60"/>
      <c r="M12" s="60"/>
    </row>
    <row r="13" spans="1:13" ht="45.95" customHeight="1">
      <c r="A13" s="115" t="s">
        <v>139</v>
      </c>
      <c r="B13" s="125" t="s">
        <v>301</v>
      </c>
      <c r="C13" s="125"/>
      <c r="D13" s="125"/>
      <c r="E13" s="125"/>
      <c r="F13" s="125"/>
      <c r="G13" s="125"/>
      <c r="H13" s="125"/>
      <c r="I13" s="125"/>
      <c r="J13" s="135" t="s">
        <v>310</v>
      </c>
      <c r="K13" s="135"/>
      <c r="L13" s="60"/>
      <c r="M13" s="60"/>
    </row>
    <row r="14" spans="1:13" ht="45.95" customHeight="1">
      <c r="A14" s="115" t="s">
        <v>140</v>
      </c>
      <c r="B14" s="125" t="s">
        <v>302</v>
      </c>
      <c r="C14" s="125"/>
      <c r="D14" s="125"/>
      <c r="E14" s="125"/>
      <c r="F14" s="125"/>
      <c r="G14" s="125"/>
      <c r="H14" s="125"/>
      <c r="I14" s="125"/>
      <c r="J14" s="135" t="s">
        <v>311</v>
      </c>
      <c r="K14" s="135"/>
      <c r="L14" s="60"/>
      <c r="M14" s="60"/>
    </row>
    <row r="15" spans="1:13" ht="45.95" customHeight="1">
      <c r="A15" s="115" t="s">
        <v>64</v>
      </c>
      <c r="B15" s="125" t="s">
        <v>303</v>
      </c>
      <c r="C15" s="125"/>
      <c r="D15" s="125"/>
      <c r="E15" s="125"/>
      <c r="F15" s="125"/>
      <c r="G15" s="125"/>
      <c r="H15" s="125"/>
      <c r="I15" s="125"/>
      <c r="J15" s="135" t="s">
        <v>312</v>
      </c>
      <c r="K15" s="135"/>
      <c r="L15" s="60"/>
      <c r="M15" s="60"/>
    </row>
    <row r="16" spans="1:13" ht="45.95" customHeight="1">
      <c r="A16" s="115" t="s">
        <v>141</v>
      </c>
      <c r="B16" s="125" t="s">
        <v>304</v>
      </c>
      <c r="C16" s="125"/>
      <c r="D16" s="125"/>
      <c r="E16" s="125"/>
      <c r="F16" s="125"/>
      <c r="G16" s="125"/>
      <c r="H16" s="125"/>
      <c r="I16" s="125"/>
      <c r="J16" s="135" t="s">
        <v>313</v>
      </c>
      <c r="K16" s="135"/>
      <c r="L16" s="60"/>
      <c r="M16" s="60"/>
    </row>
    <row r="17" spans="1:13" ht="45.95" customHeight="1">
      <c r="A17" s="115" t="s">
        <v>142</v>
      </c>
      <c r="B17" s="125" t="s">
        <v>308</v>
      </c>
      <c r="C17" s="125"/>
      <c r="D17" s="125"/>
      <c r="E17" s="125"/>
      <c r="F17" s="125"/>
      <c r="G17" s="125"/>
      <c r="H17" s="125"/>
      <c r="I17" s="125"/>
      <c r="J17" s="135" t="s">
        <v>314</v>
      </c>
      <c r="K17" s="135"/>
      <c r="L17" s="60"/>
      <c r="M17" s="60"/>
    </row>
    <row r="18" spans="1:13" ht="45.95" customHeight="1">
      <c r="A18" s="115" t="s">
        <v>143</v>
      </c>
      <c r="B18" s="125" t="s">
        <v>315</v>
      </c>
      <c r="C18" s="125"/>
      <c r="D18" s="125"/>
      <c r="E18" s="125"/>
      <c r="F18" s="125"/>
      <c r="G18" s="125"/>
      <c r="H18" s="125"/>
      <c r="I18" s="125"/>
      <c r="J18" s="135" t="s">
        <v>316</v>
      </c>
      <c r="K18" s="135"/>
      <c r="L18" s="60"/>
      <c r="M18" s="60"/>
    </row>
    <row r="19" spans="1:13" ht="45.95" customHeight="1">
      <c r="A19" s="115" t="s">
        <v>144</v>
      </c>
      <c r="B19" s="125" t="s">
        <v>317</v>
      </c>
      <c r="C19" s="125"/>
      <c r="D19" s="125"/>
      <c r="E19" s="125"/>
      <c r="F19" s="125"/>
      <c r="G19" s="125"/>
      <c r="H19" s="125"/>
      <c r="I19" s="125"/>
      <c r="J19" s="135" t="s">
        <v>318</v>
      </c>
      <c r="K19" s="135"/>
      <c r="L19" s="60"/>
      <c r="M19" s="60"/>
    </row>
    <row r="20" spans="1:13" ht="45.95" customHeight="1">
      <c r="A20" s="115" t="s">
        <v>71</v>
      </c>
      <c r="B20" s="125" t="s">
        <v>319</v>
      </c>
      <c r="C20" s="125"/>
      <c r="D20" s="125"/>
      <c r="E20" s="125"/>
      <c r="F20" s="125"/>
      <c r="G20" s="125"/>
      <c r="H20" s="125"/>
      <c r="I20" s="125"/>
      <c r="J20" s="135" t="s">
        <v>320</v>
      </c>
      <c r="K20" s="135"/>
      <c r="L20" s="60"/>
      <c r="M20" s="60"/>
    </row>
    <row r="21" spans="1:13" ht="45.95" customHeight="1">
      <c r="A21" s="115" t="s">
        <v>74</v>
      </c>
      <c r="B21" s="125" t="s">
        <v>321</v>
      </c>
      <c r="C21" s="125"/>
      <c r="D21" s="125"/>
      <c r="E21" s="125"/>
      <c r="F21" s="125"/>
      <c r="G21" s="125"/>
      <c r="H21" s="125"/>
      <c r="I21" s="125"/>
      <c r="J21" s="135" t="s">
        <v>322</v>
      </c>
      <c r="K21" s="135"/>
      <c r="L21" s="60"/>
      <c r="M21" s="60"/>
    </row>
    <row r="22" spans="1:13" ht="45.95" customHeight="1">
      <c r="A22" s="115" t="s">
        <v>145</v>
      </c>
      <c r="B22" s="125" t="s">
        <v>323</v>
      </c>
      <c r="C22" s="125"/>
      <c r="D22" s="125"/>
      <c r="E22" s="125"/>
      <c r="F22" s="125"/>
      <c r="G22" s="125"/>
      <c r="H22" s="125"/>
      <c r="I22" s="125"/>
      <c r="J22" s="135" t="s">
        <v>324</v>
      </c>
      <c r="K22" s="135"/>
      <c r="L22" s="60"/>
      <c r="M22" s="60"/>
    </row>
    <row r="23" spans="1:13" ht="45.95" customHeight="1">
      <c r="A23" s="115" t="s">
        <v>76</v>
      </c>
      <c r="B23" s="125" t="s">
        <v>325</v>
      </c>
      <c r="C23" s="125"/>
      <c r="D23" s="125"/>
      <c r="E23" s="125"/>
      <c r="F23" s="125"/>
      <c r="G23" s="125"/>
      <c r="H23" s="125"/>
      <c r="I23" s="125"/>
      <c r="J23" s="135" t="s">
        <v>326</v>
      </c>
      <c r="K23" s="135"/>
      <c r="L23" s="60"/>
      <c r="M23" s="60"/>
    </row>
    <row r="24" spans="1:13" ht="45.95" customHeight="1">
      <c r="A24" s="115" t="s">
        <v>113</v>
      </c>
      <c r="B24" s="125" t="s">
        <v>327</v>
      </c>
      <c r="C24" s="125"/>
      <c r="D24" s="125"/>
      <c r="E24" s="125"/>
      <c r="F24" s="125"/>
      <c r="G24" s="125"/>
      <c r="H24" s="125"/>
      <c r="I24" s="125"/>
      <c r="J24" s="135" t="s">
        <v>328</v>
      </c>
      <c r="K24" s="135"/>
      <c r="L24" s="60"/>
      <c r="M24" s="60"/>
    </row>
    <row r="25" spans="1:13" ht="45.95" customHeight="1">
      <c r="A25" s="115" t="s">
        <v>77</v>
      </c>
      <c r="B25" s="125" t="s">
        <v>329</v>
      </c>
      <c r="C25" s="125"/>
      <c r="D25" s="125"/>
      <c r="E25" s="125"/>
      <c r="F25" s="125"/>
      <c r="G25" s="125"/>
      <c r="H25" s="125"/>
      <c r="I25" s="125"/>
      <c r="J25" s="135" t="s">
        <v>330</v>
      </c>
      <c r="K25" s="135"/>
      <c r="L25" s="60"/>
      <c r="M25" s="60"/>
    </row>
    <row r="26" spans="1:13" ht="45.95" customHeight="1">
      <c r="A26" s="115" t="s">
        <v>78</v>
      </c>
      <c r="B26" s="125" t="s">
        <v>331</v>
      </c>
      <c r="C26" s="125"/>
      <c r="D26" s="125"/>
      <c r="E26" s="125"/>
      <c r="F26" s="125"/>
      <c r="G26" s="125"/>
      <c r="H26" s="125"/>
      <c r="I26" s="125"/>
      <c r="J26" s="135" t="s">
        <v>332</v>
      </c>
      <c r="K26" s="135"/>
      <c r="L26" s="60"/>
      <c r="M26" s="60"/>
    </row>
    <row r="27" spans="1:13" ht="45.95" customHeight="1">
      <c r="A27" s="115" t="s">
        <v>80</v>
      </c>
      <c r="B27" s="125" t="s">
        <v>333</v>
      </c>
      <c r="C27" s="125"/>
      <c r="D27" s="125"/>
      <c r="E27" s="125"/>
      <c r="F27" s="125"/>
      <c r="G27" s="125"/>
      <c r="H27" s="125"/>
      <c r="I27" s="125"/>
      <c r="J27" s="135" t="s">
        <v>334</v>
      </c>
      <c r="K27" s="135"/>
      <c r="L27" s="60"/>
      <c r="M27" s="60"/>
    </row>
    <row r="28" spans="1:13" ht="45.95" customHeight="1">
      <c r="A28" s="115" t="s">
        <v>82</v>
      </c>
      <c r="B28" s="125" t="s">
        <v>335</v>
      </c>
      <c r="C28" s="125"/>
      <c r="D28" s="125"/>
      <c r="E28" s="125"/>
      <c r="F28" s="125"/>
      <c r="G28" s="125"/>
      <c r="H28" s="125"/>
      <c r="I28" s="125"/>
      <c r="J28" s="135" t="s">
        <v>336</v>
      </c>
      <c r="K28" s="135"/>
      <c r="L28" s="60"/>
      <c r="M28" s="60"/>
    </row>
    <row r="29" spans="1:13" ht="45.95" customHeight="1">
      <c r="A29" s="115" t="s">
        <v>84</v>
      </c>
      <c r="B29" s="125" t="s">
        <v>337</v>
      </c>
      <c r="C29" s="125"/>
      <c r="D29" s="125"/>
      <c r="E29" s="125"/>
      <c r="F29" s="125"/>
      <c r="G29" s="125"/>
      <c r="H29" s="125"/>
      <c r="I29" s="125"/>
      <c r="J29" s="135" t="s">
        <v>338</v>
      </c>
      <c r="K29" s="135"/>
      <c r="L29" s="60"/>
      <c r="M29" s="60"/>
    </row>
    <row r="30" spans="1:13" ht="45.95" customHeight="1">
      <c r="A30" s="115" t="s">
        <v>130</v>
      </c>
      <c r="B30" s="125" t="s">
        <v>339</v>
      </c>
      <c r="C30" s="125"/>
      <c r="D30" s="125"/>
      <c r="E30" s="125"/>
      <c r="F30" s="125"/>
      <c r="G30" s="125"/>
      <c r="H30" s="125"/>
      <c r="I30" s="125"/>
      <c r="J30" s="135" t="s">
        <v>340</v>
      </c>
      <c r="K30" s="135"/>
      <c r="L30" s="60"/>
      <c r="M30" s="60"/>
    </row>
    <row r="31" spans="1:13" ht="45.95" customHeight="1">
      <c r="A31" s="115" t="s">
        <v>132</v>
      </c>
      <c r="B31" s="125" t="s">
        <v>341</v>
      </c>
      <c r="C31" s="125"/>
      <c r="D31" s="125"/>
      <c r="E31" s="125"/>
      <c r="F31" s="125"/>
      <c r="G31" s="125"/>
      <c r="H31" s="125"/>
      <c r="I31" s="125"/>
      <c r="J31" s="135" t="s">
        <v>342</v>
      </c>
      <c r="K31" s="135"/>
      <c r="L31" s="60"/>
      <c r="M31" s="60"/>
    </row>
    <row r="32" spans="1:13" ht="45.95" customHeight="1">
      <c r="A32" s="115" t="s">
        <v>146</v>
      </c>
      <c r="B32" s="125" t="s">
        <v>343</v>
      </c>
      <c r="C32" s="125"/>
      <c r="D32" s="125"/>
      <c r="E32" s="125"/>
      <c r="F32" s="125"/>
      <c r="G32" s="125"/>
      <c r="H32" s="125"/>
      <c r="I32" s="125"/>
      <c r="J32" s="135" t="s">
        <v>344</v>
      </c>
      <c r="K32" s="135"/>
      <c r="L32" s="60"/>
      <c r="M32" s="60"/>
    </row>
    <row r="33" spans="1:13" ht="45.95" customHeight="1">
      <c r="A33" s="115" t="s">
        <v>147</v>
      </c>
      <c r="B33" s="125" t="s">
        <v>345</v>
      </c>
      <c r="C33" s="125"/>
      <c r="D33" s="125"/>
      <c r="E33" s="125"/>
      <c r="F33" s="125"/>
      <c r="G33" s="125"/>
      <c r="H33" s="125"/>
      <c r="I33" s="125"/>
      <c r="J33" s="135" t="s">
        <v>346</v>
      </c>
      <c r="K33" s="135"/>
      <c r="L33" s="60"/>
      <c r="M33" s="60"/>
    </row>
    <row r="34" spans="1:13" ht="45.95" customHeight="1">
      <c r="A34" s="115" t="s">
        <v>148</v>
      </c>
      <c r="B34" s="125" t="s">
        <v>347</v>
      </c>
      <c r="C34" s="125"/>
      <c r="D34" s="125"/>
      <c r="E34" s="125"/>
      <c r="F34" s="125"/>
      <c r="G34" s="125"/>
      <c r="H34" s="125"/>
      <c r="I34" s="125"/>
      <c r="J34" s="135" t="s">
        <v>348</v>
      </c>
      <c r="K34" s="135"/>
      <c r="L34" s="60"/>
      <c r="M34" s="60"/>
    </row>
    <row r="35" spans="1:13" ht="45.95" customHeight="1">
      <c r="A35" s="115" t="s">
        <v>149</v>
      </c>
      <c r="B35" s="125" t="s">
        <v>349</v>
      </c>
      <c r="C35" s="125"/>
      <c r="D35" s="125"/>
      <c r="E35" s="125"/>
      <c r="F35" s="125"/>
      <c r="G35" s="125"/>
      <c r="H35" s="125"/>
      <c r="I35" s="125"/>
      <c r="J35" s="135" t="s">
        <v>350</v>
      </c>
      <c r="K35" s="135"/>
      <c r="L35" s="60"/>
      <c r="M35" s="60"/>
    </row>
    <row r="36" spans="1:13" ht="45.95" customHeight="1">
      <c r="A36" s="115" t="s">
        <v>150</v>
      </c>
      <c r="B36" s="125" t="s">
        <v>351</v>
      </c>
      <c r="C36" s="125"/>
      <c r="D36" s="125"/>
      <c r="E36" s="125"/>
      <c r="F36" s="125"/>
      <c r="G36" s="125"/>
      <c r="H36" s="125"/>
      <c r="I36" s="125"/>
      <c r="J36" s="135" t="s">
        <v>352</v>
      </c>
      <c r="K36" s="135"/>
      <c r="L36" s="60"/>
      <c r="M36" s="60"/>
    </row>
    <row r="37" spans="1:13" ht="45.95" customHeight="1">
      <c r="A37" s="115" t="s">
        <v>151</v>
      </c>
      <c r="B37" s="125" t="s">
        <v>353</v>
      </c>
      <c r="C37" s="125"/>
      <c r="D37" s="125"/>
      <c r="E37" s="125"/>
      <c r="F37" s="125"/>
      <c r="G37" s="125"/>
      <c r="H37" s="125"/>
      <c r="I37" s="125"/>
      <c r="J37" s="135" t="s">
        <v>354</v>
      </c>
      <c r="K37" s="135"/>
      <c r="L37" s="60"/>
      <c r="M37" s="60"/>
    </row>
    <row r="38" spans="1:13" ht="45.95" customHeight="1">
      <c r="A38" s="115" t="s">
        <v>152</v>
      </c>
      <c r="B38" s="125" t="s">
        <v>355</v>
      </c>
      <c r="C38" s="125"/>
      <c r="D38" s="125"/>
      <c r="E38" s="125"/>
      <c r="F38" s="125"/>
      <c r="G38" s="125"/>
      <c r="H38" s="125"/>
      <c r="I38" s="125"/>
      <c r="J38" s="135" t="s">
        <v>356</v>
      </c>
      <c r="K38" s="135"/>
      <c r="L38" s="60"/>
      <c r="M38" s="60"/>
    </row>
    <row r="39" spans="1:13" ht="45.95" customHeight="1">
      <c r="A39" s="115" t="s">
        <v>153</v>
      </c>
      <c r="B39" s="125" t="s">
        <v>357</v>
      </c>
      <c r="C39" s="125"/>
      <c r="D39" s="125"/>
      <c r="E39" s="125"/>
      <c r="F39" s="125"/>
      <c r="G39" s="125"/>
      <c r="H39" s="125"/>
      <c r="I39" s="125"/>
      <c r="J39" s="135" t="s">
        <v>358</v>
      </c>
      <c r="K39" s="135"/>
      <c r="L39" s="60"/>
      <c r="M39" s="60"/>
    </row>
    <row r="40" spans="1:13" ht="45.95" customHeight="1">
      <c r="A40" s="115" t="s">
        <v>154</v>
      </c>
      <c r="B40" s="125" t="s">
        <v>359</v>
      </c>
      <c r="C40" s="125"/>
      <c r="D40" s="125"/>
      <c r="E40" s="125"/>
      <c r="F40" s="125"/>
      <c r="G40" s="125"/>
      <c r="H40" s="125"/>
      <c r="I40" s="125"/>
      <c r="J40" s="135" t="s">
        <v>360</v>
      </c>
      <c r="K40" s="135"/>
      <c r="L40" s="60"/>
      <c r="M40" s="60"/>
    </row>
    <row r="41" spans="1:13" ht="45.95" customHeight="1">
      <c r="A41" s="115" t="s">
        <v>155</v>
      </c>
      <c r="B41" s="125" t="s">
        <v>361</v>
      </c>
      <c r="C41" s="125"/>
      <c r="D41" s="125"/>
      <c r="E41" s="125"/>
      <c r="F41" s="125"/>
      <c r="G41" s="125"/>
      <c r="H41" s="125"/>
      <c r="I41" s="125"/>
      <c r="J41" s="135" t="s">
        <v>362</v>
      </c>
      <c r="K41" s="135"/>
      <c r="L41" s="60"/>
      <c r="M41" s="60"/>
    </row>
    <row r="42" spans="1:13" ht="45.95" customHeight="1">
      <c r="A42" s="115" t="s">
        <v>156</v>
      </c>
      <c r="B42" s="125" t="s">
        <v>363</v>
      </c>
      <c r="C42" s="125"/>
      <c r="D42" s="125"/>
      <c r="E42" s="125"/>
      <c r="F42" s="125"/>
      <c r="G42" s="125"/>
      <c r="H42" s="125"/>
      <c r="I42" s="125"/>
      <c r="J42" s="135" t="s">
        <v>364</v>
      </c>
      <c r="K42" s="135"/>
      <c r="L42" s="60"/>
      <c r="M42" s="60"/>
    </row>
    <row r="43" spans="1:13" ht="45.95" customHeight="1">
      <c r="A43" s="115" t="s">
        <v>157</v>
      </c>
      <c r="B43" s="125" t="s">
        <v>365</v>
      </c>
      <c r="C43" s="125"/>
      <c r="D43" s="125"/>
      <c r="E43" s="125"/>
      <c r="F43" s="125"/>
      <c r="G43" s="125"/>
      <c r="H43" s="125"/>
      <c r="I43" s="125"/>
      <c r="J43" s="135" t="s">
        <v>366</v>
      </c>
      <c r="K43" s="135"/>
      <c r="L43" s="60"/>
      <c r="M43" s="60"/>
    </row>
    <row r="44" spans="1:13" ht="45.95" customHeight="1">
      <c r="A44" s="115" t="s">
        <v>158</v>
      </c>
      <c r="B44" s="125" t="s">
        <v>367</v>
      </c>
      <c r="C44" s="125"/>
      <c r="D44" s="125"/>
      <c r="E44" s="125"/>
      <c r="F44" s="125"/>
      <c r="G44" s="125"/>
      <c r="H44" s="125"/>
      <c r="I44" s="125"/>
      <c r="J44" s="135" t="s">
        <v>368</v>
      </c>
      <c r="K44" s="135"/>
      <c r="L44" s="60"/>
      <c r="M44" s="60"/>
    </row>
    <row r="45" spans="1:13" ht="45.95" customHeight="1">
      <c r="A45" s="115" t="s">
        <v>159</v>
      </c>
      <c r="B45" s="125" t="s">
        <v>369</v>
      </c>
      <c r="C45" s="125"/>
      <c r="D45" s="125"/>
      <c r="E45" s="125"/>
      <c r="F45" s="125"/>
      <c r="G45" s="125"/>
      <c r="H45" s="125"/>
      <c r="I45" s="125"/>
      <c r="J45" s="135" t="s">
        <v>370</v>
      </c>
      <c r="K45" s="135"/>
      <c r="L45" s="60"/>
      <c r="M45" s="60"/>
    </row>
    <row r="46" spans="1:13" ht="45.95" customHeight="1">
      <c r="A46" s="115" t="s">
        <v>160</v>
      </c>
      <c r="B46" s="125" t="s">
        <v>371</v>
      </c>
      <c r="C46" s="125"/>
      <c r="D46" s="125"/>
      <c r="E46" s="125"/>
      <c r="F46" s="125"/>
      <c r="G46" s="125"/>
      <c r="H46" s="125"/>
      <c r="I46" s="125"/>
      <c r="J46" s="135" t="s">
        <v>372</v>
      </c>
      <c r="K46" s="135"/>
      <c r="L46" s="60"/>
      <c r="M46" s="60"/>
    </row>
    <row r="47" spans="1:13" ht="45.95" customHeight="1">
      <c r="A47" s="115" t="s">
        <v>161</v>
      </c>
      <c r="B47" s="125" t="s">
        <v>373</v>
      </c>
      <c r="C47" s="125"/>
      <c r="D47" s="125"/>
      <c r="E47" s="125"/>
      <c r="F47" s="125"/>
      <c r="G47" s="125"/>
      <c r="H47" s="125"/>
      <c r="I47" s="125"/>
      <c r="J47" s="135" t="s">
        <v>374</v>
      </c>
      <c r="K47" s="135"/>
      <c r="L47" s="60"/>
      <c r="M47" s="60"/>
    </row>
    <row r="48" spans="1:13" ht="45.95" customHeight="1">
      <c r="A48" s="115" t="s">
        <v>162</v>
      </c>
      <c r="B48" s="125" t="s">
        <v>375</v>
      </c>
      <c r="C48" s="125"/>
      <c r="D48" s="125"/>
      <c r="E48" s="125"/>
      <c r="F48" s="125"/>
      <c r="G48" s="125"/>
      <c r="H48" s="125"/>
      <c r="I48" s="125"/>
      <c r="J48" s="135" t="s">
        <v>376</v>
      </c>
      <c r="K48" s="135"/>
      <c r="L48" s="60"/>
      <c r="M48" s="60"/>
    </row>
    <row r="49" spans="1:13" ht="45.95" customHeight="1">
      <c r="A49" s="115" t="s">
        <v>163</v>
      </c>
      <c r="B49" s="125" t="s">
        <v>377</v>
      </c>
      <c r="C49" s="125"/>
      <c r="D49" s="125"/>
      <c r="E49" s="125"/>
      <c r="F49" s="125"/>
      <c r="G49" s="125"/>
      <c r="H49" s="125"/>
      <c r="I49" s="125"/>
      <c r="J49" s="135" t="s">
        <v>378</v>
      </c>
      <c r="K49" s="135"/>
      <c r="L49" s="60"/>
      <c r="M49" s="60"/>
    </row>
    <row r="50" spans="1:13" ht="24.95" customHeight="1">
      <c r="A50" s="115" t="s">
        <v>164</v>
      </c>
      <c r="B50" s="125" t="s">
        <v>384</v>
      </c>
      <c r="C50" s="125"/>
      <c r="D50" s="125"/>
      <c r="E50" s="125"/>
      <c r="F50" s="125"/>
      <c r="G50" s="125"/>
      <c r="H50" s="125"/>
      <c r="I50" s="125"/>
      <c r="J50" s="135" t="s">
        <v>385</v>
      </c>
      <c r="K50" s="135"/>
      <c r="L50" s="60"/>
      <c r="M50" s="60"/>
    </row>
    <row r="51" spans="1:13" ht="45.95" customHeight="1">
      <c r="A51" s="115" t="s">
        <v>165</v>
      </c>
      <c r="B51" s="125" t="s">
        <v>386</v>
      </c>
      <c r="C51" s="125"/>
      <c r="D51" s="125"/>
      <c r="E51" s="125"/>
      <c r="F51" s="125"/>
      <c r="G51" s="125"/>
      <c r="H51" s="125"/>
      <c r="I51" s="125"/>
      <c r="J51" s="135" t="s">
        <v>387</v>
      </c>
      <c r="K51" s="135"/>
      <c r="L51" s="60"/>
      <c r="M51" s="60"/>
    </row>
    <row r="52" spans="1:13" ht="45.95" customHeight="1">
      <c r="A52" s="115" t="s">
        <v>166</v>
      </c>
      <c r="B52" s="125" t="s">
        <v>388</v>
      </c>
      <c r="C52" s="125"/>
      <c r="D52" s="125"/>
      <c r="E52" s="125"/>
      <c r="F52" s="125"/>
      <c r="G52" s="125"/>
      <c r="H52" s="125"/>
      <c r="I52" s="125"/>
      <c r="J52" s="135" t="s">
        <v>389</v>
      </c>
      <c r="K52" s="135"/>
      <c r="L52" s="60"/>
      <c r="M52" s="60"/>
    </row>
    <row r="53" spans="1:13" ht="45.95" customHeight="1">
      <c r="A53" s="115" t="s">
        <v>167</v>
      </c>
      <c r="B53" s="125" t="s">
        <v>390</v>
      </c>
      <c r="C53" s="125"/>
      <c r="D53" s="125"/>
      <c r="E53" s="125"/>
      <c r="F53" s="125"/>
      <c r="G53" s="125"/>
      <c r="H53" s="125"/>
      <c r="I53" s="125"/>
      <c r="J53" s="135" t="s">
        <v>391</v>
      </c>
      <c r="K53" s="135"/>
      <c r="L53" s="60"/>
      <c r="M53" s="60"/>
    </row>
    <row r="54" spans="1:13" ht="63" customHeight="1">
      <c r="A54" s="115" t="s">
        <v>168</v>
      </c>
      <c r="B54" s="125" t="s">
        <v>460</v>
      </c>
      <c r="C54" s="125"/>
      <c r="D54" s="125"/>
      <c r="E54" s="125"/>
      <c r="F54" s="125"/>
      <c r="G54" s="125"/>
      <c r="H54" s="125"/>
      <c r="I54" s="125"/>
      <c r="J54" s="135" t="s">
        <v>392</v>
      </c>
      <c r="K54" s="135"/>
      <c r="L54" s="60"/>
      <c r="M54" s="60"/>
    </row>
    <row r="55" spans="1:13" ht="45.95" customHeight="1">
      <c r="A55" s="115" t="s">
        <v>169</v>
      </c>
      <c r="B55" s="125" t="s">
        <v>393</v>
      </c>
      <c r="C55" s="125"/>
      <c r="D55" s="125"/>
      <c r="E55" s="125"/>
      <c r="F55" s="125"/>
      <c r="G55" s="125"/>
      <c r="H55" s="125"/>
      <c r="I55" s="125"/>
      <c r="J55" s="135" t="s">
        <v>394</v>
      </c>
      <c r="K55" s="135"/>
      <c r="L55" s="60"/>
      <c r="M55" s="60"/>
    </row>
    <row r="56" spans="1:13" ht="45.95" customHeight="1">
      <c r="A56" s="115" t="s">
        <v>170</v>
      </c>
      <c r="B56" s="125" t="s">
        <v>395</v>
      </c>
      <c r="C56" s="125"/>
      <c r="D56" s="125"/>
      <c r="E56" s="125"/>
      <c r="F56" s="125"/>
      <c r="G56" s="125"/>
      <c r="H56" s="125"/>
      <c r="I56" s="125"/>
      <c r="J56" s="135" t="s">
        <v>396</v>
      </c>
      <c r="K56" s="135"/>
      <c r="L56" s="60"/>
      <c r="M56" s="60"/>
    </row>
    <row r="57" spans="1:13" ht="45.95" customHeight="1">
      <c r="A57" s="115" t="s">
        <v>171</v>
      </c>
      <c r="B57" s="125" t="s">
        <v>397</v>
      </c>
      <c r="C57" s="125"/>
      <c r="D57" s="125"/>
      <c r="E57" s="125"/>
      <c r="F57" s="125"/>
      <c r="G57" s="125"/>
      <c r="H57" s="125"/>
      <c r="I57" s="125"/>
      <c r="J57" s="135" t="s">
        <v>398</v>
      </c>
      <c r="K57" s="135"/>
      <c r="L57" s="60"/>
      <c r="M57" s="60"/>
    </row>
    <row r="58" spans="1:13" ht="45.95" customHeight="1">
      <c r="A58" s="115" t="s">
        <v>172</v>
      </c>
      <c r="B58" s="125" t="s">
        <v>399</v>
      </c>
      <c r="C58" s="125"/>
      <c r="D58" s="125"/>
      <c r="E58" s="125"/>
      <c r="F58" s="125"/>
      <c r="G58" s="125"/>
      <c r="H58" s="125"/>
      <c r="I58" s="125"/>
      <c r="J58" s="135" t="s">
        <v>416</v>
      </c>
      <c r="K58" s="135"/>
      <c r="L58" s="60"/>
      <c r="M58" s="60"/>
    </row>
    <row r="59" spans="1:13" ht="45.95" customHeight="1">
      <c r="A59" s="115" t="s">
        <v>173</v>
      </c>
      <c r="B59" s="125" t="s">
        <v>400</v>
      </c>
      <c r="C59" s="125"/>
      <c r="D59" s="125"/>
      <c r="E59" s="125"/>
      <c r="F59" s="125"/>
      <c r="G59" s="125"/>
      <c r="H59" s="125"/>
      <c r="I59" s="125"/>
      <c r="J59" s="135" t="s">
        <v>403</v>
      </c>
      <c r="K59" s="135"/>
      <c r="L59" s="60"/>
      <c r="M59" s="60"/>
    </row>
    <row r="60" spans="1:13" ht="45.95" customHeight="1">
      <c r="A60" s="115" t="s">
        <v>174</v>
      </c>
      <c r="B60" s="125" t="s">
        <v>401</v>
      </c>
      <c r="C60" s="125"/>
      <c r="D60" s="125"/>
      <c r="E60" s="125"/>
      <c r="F60" s="125"/>
      <c r="G60" s="125"/>
      <c r="H60" s="125"/>
      <c r="I60" s="125"/>
      <c r="J60" s="135" t="s">
        <v>402</v>
      </c>
      <c r="K60" s="135"/>
      <c r="L60" s="60"/>
      <c r="M60" s="60"/>
    </row>
    <row r="61" spans="1:13" ht="45.95" customHeight="1">
      <c r="A61" s="115" t="s">
        <v>175</v>
      </c>
      <c r="B61" s="125" t="s">
        <v>404</v>
      </c>
      <c r="C61" s="125"/>
      <c r="D61" s="125"/>
      <c r="E61" s="125"/>
      <c r="F61" s="125"/>
      <c r="G61" s="125"/>
      <c r="H61" s="125"/>
      <c r="I61" s="125"/>
      <c r="J61" s="135" t="s">
        <v>405</v>
      </c>
      <c r="K61" s="135"/>
      <c r="L61" s="60"/>
      <c r="M61" s="60"/>
    </row>
    <row r="62" spans="1:13" ht="45.95" customHeight="1">
      <c r="A62" s="115" t="s">
        <v>176</v>
      </c>
      <c r="B62" s="125" t="s">
        <v>409</v>
      </c>
      <c r="C62" s="125"/>
      <c r="D62" s="125"/>
      <c r="E62" s="125"/>
      <c r="F62" s="125"/>
      <c r="G62" s="125"/>
      <c r="H62" s="125"/>
      <c r="I62" s="125"/>
      <c r="J62" s="135" t="s">
        <v>406</v>
      </c>
      <c r="K62" s="135"/>
      <c r="L62" s="60"/>
      <c r="M62" s="60"/>
    </row>
    <row r="63" spans="1:13" ht="59.25" customHeight="1">
      <c r="A63" s="115" t="s">
        <v>177</v>
      </c>
      <c r="B63" s="125" t="s">
        <v>411</v>
      </c>
      <c r="C63" s="125"/>
      <c r="D63" s="125"/>
      <c r="E63" s="125"/>
      <c r="F63" s="125"/>
      <c r="G63" s="125"/>
      <c r="H63" s="125"/>
      <c r="I63" s="125"/>
      <c r="J63" s="135" t="s">
        <v>407</v>
      </c>
      <c r="K63" s="135"/>
      <c r="L63" s="60"/>
      <c r="M63" s="60"/>
    </row>
    <row r="64" spans="1:13" ht="63" customHeight="1">
      <c r="A64" s="115" t="s">
        <v>178</v>
      </c>
      <c r="B64" s="125" t="s">
        <v>410</v>
      </c>
      <c r="C64" s="125"/>
      <c r="D64" s="125"/>
      <c r="E64" s="125"/>
      <c r="F64" s="125"/>
      <c r="G64" s="125"/>
      <c r="H64" s="125"/>
      <c r="I64" s="125"/>
      <c r="J64" s="135" t="s">
        <v>408</v>
      </c>
      <c r="K64" s="135"/>
      <c r="L64" s="60"/>
      <c r="M64" s="60"/>
    </row>
    <row r="65" spans="1:13" ht="45.95" customHeight="1">
      <c r="A65" s="115" t="s">
        <v>179</v>
      </c>
      <c r="B65" s="125" t="s">
        <v>466</v>
      </c>
      <c r="C65" s="125"/>
      <c r="D65" s="125"/>
      <c r="E65" s="125"/>
      <c r="F65" s="125"/>
      <c r="G65" s="125"/>
      <c r="H65" s="125"/>
      <c r="I65" s="125"/>
      <c r="J65" s="135">
        <v>265029340</v>
      </c>
      <c r="K65" s="135"/>
      <c r="L65" s="60"/>
      <c r="M65" s="60"/>
    </row>
    <row r="66" spans="1:13" ht="45.95" customHeight="1">
      <c r="A66" s="115" t="s">
        <v>180</v>
      </c>
      <c r="B66" s="125" t="s">
        <v>412</v>
      </c>
      <c r="C66" s="125"/>
      <c r="D66" s="125"/>
      <c r="E66" s="125"/>
      <c r="F66" s="125"/>
      <c r="G66" s="125"/>
      <c r="H66" s="125"/>
      <c r="I66" s="125"/>
      <c r="J66" s="135" t="s">
        <v>414</v>
      </c>
      <c r="K66" s="135"/>
      <c r="L66" s="60"/>
      <c r="M66" s="60"/>
    </row>
    <row r="67" spans="1:13" ht="45.95" customHeight="1">
      <c r="A67" s="115" t="s">
        <v>181</v>
      </c>
      <c r="B67" s="125" t="s">
        <v>413</v>
      </c>
      <c r="C67" s="125"/>
      <c r="D67" s="125"/>
      <c r="E67" s="125"/>
      <c r="F67" s="125"/>
      <c r="G67" s="125"/>
      <c r="H67" s="125"/>
      <c r="I67" s="125"/>
      <c r="J67" s="135" t="s">
        <v>415</v>
      </c>
      <c r="K67" s="135"/>
      <c r="L67" s="60"/>
      <c r="M67" s="60"/>
    </row>
    <row r="68" spans="1:13" ht="45.95" customHeight="1">
      <c r="A68" s="115" t="s">
        <v>182</v>
      </c>
      <c r="B68" s="125" t="s">
        <v>464</v>
      </c>
      <c r="C68" s="125"/>
      <c r="D68" s="125"/>
      <c r="E68" s="125"/>
      <c r="F68" s="125"/>
      <c r="G68" s="125"/>
      <c r="H68" s="125"/>
      <c r="I68" s="125"/>
      <c r="J68" s="135">
        <v>265038747</v>
      </c>
      <c r="K68" s="135"/>
      <c r="L68" s="60"/>
      <c r="M68" s="60"/>
    </row>
    <row r="69" spans="1:13" ht="22.5" customHeight="1">
      <c r="B69" s="75"/>
      <c r="C69" s="75"/>
      <c r="D69" s="75"/>
      <c r="E69" s="75"/>
      <c r="F69" s="75"/>
      <c r="G69" s="60"/>
      <c r="H69" s="60"/>
      <c r="I69" s="60"/>
      <c r="J69" s="60"/>
      <c r="K69" s="60"/>
      <c r="L69" s="60"/>
      <c r="M69" s="60"/>
    </row>
    <row r="70" spans="1:13">
      <c r="A70" s="136" t="s">
        <v>98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2" spans="1:13" ht="19.5" thickBot="1">
      <c r="E72" s="76"/>
      <c r="F72" s="76"/>
      <c r="G72" s="64"/>
      <c r="H72" s="64"/>
    </row>
    <row r="73" spans="1:13" ht="19.5" thickBot="1">
      <c r="A73" s="177" t="s">
        <v>0</v>
      </c>
      <c r="B73" s="166" t="s">
        <v>1</v>
      </c>
      <c r="C73" s="166" t="s">
        <v>2</v>
      </c>
      <c r="D73" s="166" t="s">
        <v>44</v>
      </c>
      <c r="E73" s="162" t="s">
        <v>4</v>
      </c>
      <c r="F73" s="163"/>
      <c r="G73" s="163"/>
      <c r="H73" s="163"/>
      <c r="I73" s="163"/>
      <c r="J73" s="163"/>
      <c r="K73" s="163"/>
      <c r="L73" s="163"/>
      <c r="M73" s="164"/>
    </row>
    <row r="74" spans="1:13" ht="15.75" customHeight="1" thickBot="1">
      <c r="A74" s="178"/>
      <c r="B74" s="180"/>
      <c r="C74" s="180"/>
      <c r="D74" s="180"/>
      <c r="E74" s="162" t="s">
        <v>5</v>
      </c>
      <c r="F74" s="163"/>
      <c r="G74" s="163"/>
      <c r="H74" s="163"/>
      <c r="I74" s="163"/>
      <c r="J74" s="164"/>
      <c r="K74" s="168" t="s">
        <v>6</v>
      </c>
      <c r="L74" s="169"/>
      <c r="M74" s="159" t="s">
        <v>120</v>
      </c>
    </row>
    <row r="75" spans="1:13" ht="39" customHeight="1" thickBot="1">
      <c r="A75" s="178"/>
      <c r="B75" s="180"/>
      <c r="C75" s="180"/>
      <c r="D75" s="180"/>
      <c r="E75" s="162" t="s">
        <v>7</v>
      </c>
      <c r="F75" s="163"/>
      <c r="G75" s="164"/>
      <c r="H75" s="159" t="s">
        <v>8</v>
      </c>
      <c r="I75" s="159" t="s">
        <v>9</v>
      </c>
      <c r="J75" s="159" t="s">
        <v>10</v>
      </c>
      <c r="K75" s="170"/>
      <c r="L75" s="171"/>
      <c r="M75" s="165"/>
    </row>
    <row r="76" spans="1:13" ht="39" customHeight="1" thickBot="1">
      <c r="A76" s="178"/>
      <c r="B76" s="180"/>
      <c r="C76" s="180"/>
      <c r="D76" s="180"/>
      <c r="E76" s="166" t="s">
        <v>11</v>
      </c>
      <c r="F76" s="166" t="s">
        <v>12</v>
      </c>
      <c r="G76" s="7" t="s">
        <v>11</v>
      </c>
      <c r="H76" s="165"/>
      <c r="I76" s="165"/>
      <c r="J76" s="165"/>
      <c r="K76" s="159" t="s">
        <v>14</v>
      </c>
      <c r="L76" s="159" t="s">
        <v>15</v>
      </c>
      <c r="M76" s="165"/>
    </row>
    <row r="77" spans="1:13" ht="39" customHeight="1" thickBot="1">
      <c r="A77" s="179"/>
      <c r="B77" s="167"/>
      <c r="C77" s="167"/>
      <c r="D77" s="167"/>
      <c r="E77" s="167"/>
      <c r="F77" s="167"/>
      <c r="G77" s="7" t="s">
        <v>13</v>
      </c>
      <c r="H77" s="160"/>
      <c r="I77" s="160"/>
      <c r="J77" s="160"/>
      <c r="K77" s="160"/>
      <c r="L77" s="160"/>
      <c r="M77" s="160"/>
    </row>
    <row r="78" spans="1:13" ht="19.5" thickBot="1">
      <c r="A78" s="2">
        <v>1</v>
      </c>
      <c r="B78" s="77">
        <v>2</v>
      </c>
      <c r="C78" s="77">
        <v>3</v>
      </c>
      <c r="D78" s="77">
        <v>4</v>
      </c>
      <c r="E78" s="77">
        <v>5</v>
      </c>
      <c r="F78" s="77">
        <v>6</v>
      </c>
      <c r="G78" s="7">
        <v>7</v>
      </c>
      <c r="H78" s="7">
        <v>8</v>
      </c>
      <c r="I78" s="7">
        <v>9</v>
      </c>
      <c r="J78" s="7">
        <v>10</v>
      </c>
      <c r="K78" s="7">
        <v>11</v>
      </c>
      <c r="L78" s="7">
        <v>12</v>
      </c>
      <c r="M78" s="7">
        <v>13</v>
      </c>
    </row>
    <row r="79" spans="1:13" ht="63.75" thickBot="1">
      <c r="A79" s="2">
        <v>1</v>
      </c>
      <c r="B79" s="78" t="s">
        <v>99</v>
      </c>
      <c r="C79" s="77" t="s">
        <v>29</v>
      </c>
      <c r="D79" s="79">
        <f>E79+F79+G79+H79+I79+J79+M79</f>
        <v>119</v>
      </c>
      <c r="E79" s="80"/>
      <c r="F79" s="80"/>
      <c r="G79" s="8"/>
      <c r="H79" s="8">
        <f>4+60+15+6+14</f>
        <v>99</v>
      </c>
      <c r="I79" s="8">
        <f>3+4+13</f>
        <v>20</v>
      </c>
      <c r="J79" s="8"/>
      <c r="K79" s="24" t="s">
        <v>16</v>
      </c>
      <c r="L79" s="24" t="s">
        <v>16</v>
      </c>
      <c r="M79" s="9"/>
    </row>
    <row r="80" spans="1:13" ht="142.5" thickBot="1">
      <c r="A80" s="25" t="s">
        <v>30</v>
      </c>
      <c r="B80" s="81" t="s">
        <v>100</v>
      </c>
      <c r="C80" s="47" t="s">
        <v>29</v>
      </c>
      <c r="D80" s="79">
        <f>E80+F80+G80+H80+J80+M80</f>
        <v>2</v>
      </c>
      <c r="E80" s="82"/>
      <c r="F80" s="82"/>
      <c r="G80" s="9"/>
      <c r="H80" s="9">
        <f>2</f>
        <v>2</v>
      </c>
      <c r="I80" s="26" t="s">
        <v>16</v>
      </c>
      <c r="J80" s="9"/>
      <c r="K80" s="26" t="s">
        <v>16</v>
      </c>
      <c r="L80" s="26" t="s">
        <v>16</v>
      </c>
      <c r="M80" s="9"/>
    </row>
    <row r="81" spans="1:14" ht="111" thickBot="1">
      <c r="A81" s="25" t="s">
        <v>31</v>
      </c>
      <c r="B81" s="81" t="s">
        <v>101</v>
      </c>
      <c r="C81" s="47" t="s">
        <v>29</v>
      </c>
      <c r="D81" s="79">
        <f>E81+F81+G81+H81+I81+J81+M81</f>
        <v>1</v>
      </c>
      <c r="E81" s="82"/>
      <c r="F81" s="82"/>
      <c r="G81" s="9"/>
      <c r="H81" s="9">
        <f>1</f>
        <v>1</v>
      </c>
      <c r="I81" s="9"/>
      <c r="J81" s="9"/>
      <c r="K81" s="26" t="s">
        <v>16</v>
      </c>
      <c r="L81" s="26" t="s">
        <v>16</v>
      </c>
      <c r="M81" s="9"/>
    </row>
    <row r="82" spans="1:14" ht="63.75" thickBot="1">
      <c r="A82" s="25">
        <v>2</v>
      </c>
      <c r="B82" s="81" t="s">
        <v>102</v>
      </c>
      <c r="C82" s="47" t="s">
        <v>29</v>
      </c>
      <c r="D82" s="79">
        <f>E82+F82+G82+H82+I82+J82+M82</f>
        <v>42</v>
      </c>
      <c r="E82" s="82"/>
      <c r="F82" s="82"/>
      <c r="G82" s="9"/>
      <c r="H82" s="9">
        <f>4+5+6+6+9</f>
        <v>30</v>
      </c>
      <c r="I82" s="9">
        <f>3+9</f>
        <v>12</v>
      </c>
      <c r="J82" s="9"/>
      <c r="K82" s="26" t="s">
        <v>16</v>
      </c>
      <c r="L82" s="26" t="s">
        <v>16</v>
      </c>
      <c r="M82" s="9"/>
    </row>
    <row r="83" spans="1:14" ht="142.5" thickBot="1">
      <c r="A83" s="25" t="s">
        <v>32</v>
      </c>
      <c r="B83" s="81" t="s">
        <v>103</v>
      </c>
      <c r="C83" s="47" t="s">
        <v>29</v>
      </c>
      <c r="D83" s="79">
        <f>E83+F83+G83+H83+J83+M83</f>
        <v>2</v>
      </c>
      <c r="E83" s="82"/>
      <c r="F83" s="82"/>
      <c r="G83" s="9"/>
      <c r="H83" s="9">
        <f>2</f>
        <v>2</v>
      </c>
      <c r="I83" s="26" t="s">
        <v>16</v>
      </c>
      <c r="J83" s="9"/>
      <c r="K83" s="26" t="s">
        <v>16</v>
      </c>
      <c r="L83" s="26" t="s">
        <v>16</v>
      </c>
      <c r="M83" s="9"/>
    </row>
    <row r="84" spans="1:14" ht="111" thickBot="1">
      <c r="A84" s="25" t="s">
        <v>33</v>
      </c>
      <c r="B84" s="81" t="s">
        <v>104</v>
      </c>
      <c r="C84" s="47" t="s">
        <v>29</v>
      </c>
      <c r="D84" s="79">
        <f>E84+F84+G84+H84+I84+J84+M84</f>
        <v>1</v>
      </c>
      <c r="E84" s="82"/>
      <c r="F84" s="82"/>
      <c r="G84" s="9"/>
      <c r="H84" s="9">
        <f>1</f>
        <v>1</v>
      </c>
      <c r="I84" s="9"/>
      <c r="J84" s="9"/>
      <c r="K84" s="26" t="s">
        <v>16</v>
      </c>
      <c r="L84" s="26" t="s">
        <v>16</v>
      </c>
      <c r="M84" s="9"/>
    </row>
    <row r="85" spans="1:14" ht="79.5" thickBot="1">
      <c r="A85" s="2" t="s">
        <v>50</v>
      </c>
      <c r="B85" s="78" t="s">
        <v>105</v>
      </c>
      <c r="C85" s="77" t="s">
        <v>34</v>
      </c>
      <c r="D85" s="83">
        <f>E85+F85+G85+H85+I85+J85+K85+L85+M85</f>
        <v>508563.38451999996</v>
      </c>
      <c r="E85" s="84"/>
      <c r="F85" s="84"/>
      <c r="G85" s="18"/>
      <c r="H85" s="18">
        <f>13187.7+285900+3396+1115.8346+14658.88053</f>
        <v>318258.41513000004</v>
      </c>
      <c r="I85" s="18">
        <f>700.9+501.2+950.59177</f>
        <v>2152.6917699999999</v>
      </c>
      <c r="J85" s="18"/>
      <c r="K85" s="18">
        <f>2081.6+9850.5+7188.5+448.92+1872.1861+17800.64792</f>
        <v>39242.354019999999</v>
      </c>
      <c r="L85" s="18">
        <f>10551.4+1440+120150+11268.81+1568.034+560.3596+2000+543+828.32</f>
        <v>148909.92360000001</v>
      </c>
      <c r="M85" s="9"/>
    </row>
    <row r="86" spans="1:14" ht="158.25" thickBot="1">
      <c r="A86" s="25" t="s">
        <v>35</v>
      </c>
      <c r="B86" s="81" t="s">
        <v>106</v>
      </c>
      <c r="C86" s="47" t="s">
        <v>34</v>
      </c>
      <c r="D86" s="83">
        <f>E86+F86+G86+H86+J86+M86</f>
        <v>10087.700000000001</v>
      </c>
      <c r="E86" s="85"/>
      <c r="F86" s="85"/>
      <c r="G86" s="19"/>
      <c r="H86" s="19">
        <f>10087.7</f>
        <v>10087.700000000001</v>
      </c>
      <c r="I86" s="20" t="s">
        <v>16</v>
      </c>
      <c r="J86" s="19"/>
      <c r="K86" s="20" t="s">
        <v>16</v>
      </c>
      <c r="L86" s="20" t="s">
        <v>16</v>
      </c>
      <c r="M86" s="9"/>
    </row>
    <row r="87" spans="1:14" ht="126.75" thickBot="1">
      <c r="A87" s="25" t="s">
        <v>36</v>
      </c>
      <c r="B87" s="81" t="s">
        <v>107</v>
      </c>
      <c r="C87" s="47" t="s">
        <v>34</v>
      </c>
      <c r="D87" s="83">
        <f>E87+F87+G87+H87+I87+J87+K87+L87+M87</f>
        <v>5997.3</v>
      </c>
      <c r="E87" s="85"/>
      <c r="F87" s="85"/>
      <c r="G87" s="19"/>
      <c r="H87" s="19">
        <f>5997.3</f>
        <v>5997.3</v>
      </c>
      <c r="I87" s="19"/>
      <c r="J87" s="19"/>
      <c r="K87" s="19"/>
      <c r="L87" s="19"/>
      <c r="M87" s="9"/>
    </row>
    <row r="88" spans="1:14" ht="53.25" customHeight="1" thickBot="1">
      <c r="A88" s="25" t="s">
        <v>51</v>
      </c>
      <c r="B88" s="81" t="s">
        <v>108</v>
      </c>
      <c r="C88" s="47" t="s">
        <v>34</v>
      </c>
      <c r="D88" s="83">
        <f>E88+F88+G88+H88+I88+J88+K88+L88+M88</f>
        <v>91537.491899999994</v>
      </c>
      <c r="E88" s="85"/>
      <c r="F88" s="85"/>
      <c r="G88" s="19"/>
      <c r="H88" s="19">
        <f>13187.7+16300+2606+1115.8346+12588.88053</f>
        <v>45798.415130000001</v>
      </c>
      <c r="I88" s="19">
        <f>700.9+721.48677</f>
        <v>1422.3867700000001</v>
      </c>
      <c r="J88" s="19"/>
      <c r="K88" s="19">
        <f>2081.6+2455.13+2369.27+192.39</f>
        <v>7098.39</v>
      </c>
      <c r="L88" s="19">
        <f>2637.9+1440+30037.5+2817.2+285.7</f>
        <v>37218.299999999996</v>
      </c>
      <c r="M88" s="9"/>
    </row>
    <row r="89" spans="1:14" ht="174" thickBot="1">
      <c r="A89" s="25" t="s">
        <v>37</v>
      </c>
      <c r="B89" s="81" t="s">
        <v>109</v>
      </c>
      <c r="C89" s="47" t="s">
        <v>34</v>
      </c>
      <c r="D89" s="83">
        <f>E89+F89+G89+H89+J89+M89</f>
        <v>10087.700000000001</v>
      </c>
      <c r="E89" s="85"/>
      <c r="F89" s="85"/>
      <c r="G89" s="19"/>
      <c r="H89" s="19">
        <f>10087.7</f>
        <v>10087.700000000001</v>
      </c>
      <c r="I89" s="20" t="s">
        <v>16</v>
      </c>
      <c r="J89" s="19"/>
      <c r="K89" s="20" t="s">
        <v>16</v>
      </c>
      <c r="L89" s="20" t="s">
        <v>16</v>
      </c>
      <c r="M89" s="9"/>
    </row>
    <row r="90" spans="1:14" ht="142.5" thickBot="1">
      <c r="A90" s="25" t="s">
        <v>38</v>
      </c>
      <c r="B90" s="81" t="s">
        <v>110</v>
      </c>
      <c r="C90" s="47" t="s">
        <v>34</v>
      </c>
      <c r="D90" s="83">
        <f>E90+F90+G90+H90+I90+J90+K90+L90+M90</f>
        <v>54789.899999999994</v>
      </c>
      <c r="E90" s="85"/>
      <c r="F90" s="85"/>
      <c r="G90" s="19"/>
      <c r="H90" s="19">
        <f>5997.3+16300</f>
        <v>22297.3</v>
      </c>
      <c r="I90" s="19"/>
      <c r="J90" s="19"/>
      <c r="K90" s="19">
        <f>2455.1</f>
        <v>2455.1</v>
      </c>
      <c r="L90" s="19">
        <f>30037.5</f>
        <v>30037.5</v>
      </c>
      <c r="M90" s="9"/>
    </row>
    <row r="93" spans="1:14">
      <c r="A93" s="172" t="s">
        <v>468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</row>
    <row r="95" spans="1:14" ht="19.5" thickBot="1"/>
    <row r="96" spans="1:14" ht="19.5" thickBot="1">
      <c r="A96" s="177" t="s">
        <v>0</v>
      </c>
      <c r="B96" s="166" t="s">
        <v>1</v>
      </c>
      <c r="C96" s="166" t="s">
        <v>2</v>
      </c>
      <c r="D96" s="166" t="s">
        <v>3</v>
      </c>
      <c r="E96" s="162" t="s">
        <v>4</v>
      </c>
      <c r="F96" s="163"/>
      <c r="G96" s="163"/>
      <c r="H96" s="163"/>
      <c r="I96" s="163"/>
      <c r="J96" s="163"/>
      <c r="K96" s="163"/>
      <c r="L96" s="163"/>
      <c r="M96" s="163"/>
      <c r="N96" s="65"/>
    </row>
    <row r="97" spans="1:13" ht="19.5" thickBot="1">
      <c r="A97" s="178"/>
      <c r="B97" s="180"/>
      <c r="C97" s="180"/>
      <c r="D97" s="180"/>
      <c r="E97" s="162" t="s">
        <v>5</v>
      </c>
      <c r="F97" s="163"/>
      <c r="G97" s="163"/>
      <c r="H97" s="163"/>
      <c r="I97" s="163"/>
      <c r="J97" s="164"/>
      <c r="K97" s="168" t="s">
        <v>6</v>
      </c>
      <c r="L97" s="169"/>
      <c r="M97" s="159" t="s">
        <v>120</v>
      </c>
    </row>
    <row r="98" spans="1:13" ht="40.5" customHeight="1" thickBot="1">
      <c r="A98" s="178"/>
      <c r="B98" s="180"/>
      <c r="C98" s="180"/>
      <c r="D98" s="180"/>
      <c r="E98" s="162" t="s">
        <v>7</v>
      </c>
      <c r="F98" s="163"/>
      <c r="G98" s="164"/>
      <c r="H98" s="159" t="s">
        <v>8</v>
      </c>
      <c r="I98" s="159" t="s">
        <v>9</v>
      </c>
      <c r="J98" s="159" t="s">
        <v>10</v>
      </c>
      <c r="K98" s="170"/>
      <c r="L98" s="171"/>
      <c r="M98" s="165"/>
    </row>
    <row r="99" spans="1:13" ht="40.5" customHeight="1">
      <c r="A99" s="178"/>
      <c r="B99" s="180"/>
      <c r="C99" s="180"/>
      <c r="D99" s="180"/>
      <c r="E99" s="166" t="s">
        <v>11</v>
      </c>
      <c r="F99" s="166" t="s">
        <v>12</v>
      </c>
      <c r="G99" s="159" t="s">
        <v>111</v>
      </c>
      <c r="H99" s="165"/>
      <c r="I99" s="165"/>
      <c r="J99" s="165"/>
      <c r="K99" s="159" t="s">
        <v>14</v>
      </c>
      <c r="L99" s="159" t="s">
        <v>15</v>
      </c>
      <c r="M99" s="165"/>
    </row>
    <row r="100" spans="1:13" ht="40.5" customHeight="1" thickBot="1">
      <c r="A100" s="179"/>
      <c r="B100" s="167"/>
      <c r="C100" s="167"/>
      <c r="D100" s="167"/>
      <c r="E100" s="167"/>
      <c r="F100" s="167"/>
      <c r="G100" s="160"/>
      <c r="H100" s="160"/>
      <c r="I100" s="160"/>
      <c r="J100" s="160"/>
      <c r="K100" s="160"/>
      <c r="L100" s="160"/>
      <c r="M100" s="160"/>
    </row>
    <row r="101" spans="1:13" ht="19.5" thickBot="1">
      <c r="A101" s="6">
        <v>1</v>
      </c>
      <c r="B101" s="86">
        <v>2</v>
      </c>
      <c r="C101" s="86">
        <v>3</v>
      </c>
      <c r="D101" s="86">
        <v>4</v>
      </c>
      <c r="E101" s="77">
        <v>5</v>
      </c>
      <c r="F101" s="77">
        <v>6</v>
      </c>
      <c r="G101" s="7">
        <v>7</v>
      </c>
      <c r="H101" s="7">
        <v>8</v>
      </c>
      <c r="I101" s="7">
        <v>9</v>
      </c>
      <c r="J101" s="7">
        <v>10</v>
      </c>
      <c r="K101" s="7">
        <v>11</v>
      </c>
      <c r="L101" s="7">
        <v>12</v>
      </c>
      <c r="M101" s="7">
        <v>13</v>
      </c>
    </row>
    <row r="102" spans="1:13" ht="32.25" thickBot="1">
      <c r="A102" s="6">
        <v>1</v>
      </c>
      <c r="B102" s="87" t="s">
        <v>47</v>
      </c>
      <c r="C102" s="86" t="s">
        <v>29</v>
      </c>
      <c r="D102" s="88">
        <f>E102+F102+G102+H102+I102+J102+K102+L102+M102</f>
        <v>4292</v>
      </c>
      <c r="E102" s="89"/>
      <c r="F102" s="89"/>
      <c r="G102" s="11"/>
      <c r="H102" s="11">
        <f>56+80+9+2+2+32</f>
        <v>181</v>
      </c>
      <c r="I102" s="11">
        <f>24+4+25</f>
        <v>53</v>
      </c>
      <c r="J102" s="11"/>
      <c r="K102" s="10">
        <v>180</v>
      </c>
      <c r="L102" s="10">
        <f>384+77+2374+835+118+237+61+33+53+102+28-424</f>
        <v>3878</v>
      </c>
      <c r="M102" s="11"/>
    </row>
    <row r="103" spans="1:13" ht="32.25" thickBot="1">
      <c r="A103" s="4" t="s">
        <v>30</v>
      </c>
      <c r="B103" s="90" t="s">
        <v>48</v>
      </c>
      <c r="C103" s="91" t="s">
        <v>29</v>
      </c>
      <c r="D103" s="88">
        <f>E103+F103+G103+H103+I103+J103+K103+L103+M103</f>
        <v>4112</v>
      </c>
      <c r="E103" s="82"/>
      <c r="F103" s="82"/>
      <c r="G103" s="9"/>
      <c r="H103" s="9">
        <f>4+21+11</f>
        <v>36</v>
      </c>
      <c r="I103" s="9">
        <f>4+1+13</f>
        <v>18</v>
      </c>
      <c r="J103" s="9"/>
      <c r="K103" s="10">
        <v>180</v>
      </c>
      <c r="L103" s="10">
        <f>384+77+2374+835+118+237+61+33+53+102+28-424</f>
        <v>3878</v>
      </c>
      <c r="M103" s="11"/>
    </row>
    <row r="104" spans="1:13" ht="79.5" thickBot="1">
      <c r="A104" s="4" t="s">
        <v>31</v>
      </c>
      <c r="B104" s="90" t="s">
        <v>18</v>
      </c>
      <c r="C104" s="91" t="s">
        <v>29</v>
      </c>
      <c r="D104" s="88">
        <f>E104+F104+G104+H104+I104+J104+K104+L104+M104</f>
        <v>9</v>
      </c>
      <c r="E104" s="89"/>
      <c r="F104" s="89"/>
      <c r="G104" s="11"/>
      <c r="H104" s="11">
        <f>5+1</f>
        <v>6</v>
      </c>
      <c r="I104" s="11"/>
      <c r="J104" s="11"/>
      <c r="K104" s="12">
        <f>K118</f>
        <v>0</v>
      </c>
      <c r="L104" s="12">
        <v>3</v>
      </c>
      <c r="M104" s="11"/>
    </row>
    <row r="105" spans="1:13" ht="48" thickBot="1">
      <c r="A105" s="6" t="s">
        <v>49</v>
      </c>
      <c r="B105" s="87" t="s">
        <v>61</v>
      </c>
      <c r="C105" s="91" t="s">
        <v>29</v>
      </c>
      <c r="D105" s="88">
        <f>E105+F105+G105+H105+I105+J105+M105</f>
        <v>22</v>
      </c>
      <c r="E105" s="89"/>
      <c r="F105" s="89"/>
      <c r="G105" s="11"/>
      <c r="H105" s="11">
        <f>8+8+2+2</f>
        <v>20</v>
      </c>
      <c r="I105" s="11">
        <v>2</v>
      </c>
      <c r="J105" s="11"/>
      <c r="K105" s="7" t="s">
        <v>16</v>
      </c>
      <c r="L105" s="7" t="s">
        <v>16</v>
      </c>
      <c r="M105" s="11"/>
    </row>
    <row r="106" spans="1:13" s="66" customFormat="1" ht="32.25" thickBot="1">
      <c r="A106" s="4" t="s">
        <v>32</v>
      </c>
      <c r="B106" s="90" t="s">
        <v>48</v>
      </c>
      <c r="C106" s="91" t="s">
        <v>29</v>
      </c>
      <c r="D106" s="92">
        <f>E106+F106+G106+H106+I106+J106+M106</f>
        <v>0</v>
      </c>
      <c r="E106" s="89"/>
      <c r="F106" s="89"/>
      <c r="G106" s="11"/>
      <c r="H106" s="11"/>
      <c r="I106" s="11"/>
      <c r="J106" s="11"/>
      <c r="K106" s="13" t="s">
        <v>16</v>
      </c>
      <c r="L106" s="13" t="s">
        <v>16</v>
      </c>
      <c r="M106" s="11"/>
    </row>
    <row r="107" spans="1:13" s="66" customFormat="1" ht="79.5" thickBot="1">
      <c r="A107" s="4" t="s">
        <v>33</v>
      </c>
      <c r="B107" s="90" t="s">
        <v>18</v>
      </c>
      <c r="C107" s="91" t="s">
        <v>29</v>
      </c>
      <c r="D107" s="92">
        <f>E107+F107+G107+H107+I107+J107+K107+L107+M107</f>
        <v>2</v>
      </c>
      <c r="E107" s="89"/>
      <c r="F107" s="89"/>
      <c r="G107" s="11"/>
      <c r="H107" s="11">
        <f>2</f>
        <v>2</v>
      </c>
      <c r="I107" s="11"/>
      <c r="J107" s="11"/>
      <c r="K107" s="11"/>
      <c r="L107" s="11"/>
      <c r="M107" s="11"/>
    </row>
    <row r="108" spans="1:13" ht="32.25" thickBot="1">
      <c r="A108" s="6" t="s">
        <v>50</v>
      </c>
      <c r="B108" s="87" t="s">
        <v>28</v>
      </c>
      <c r="C108" s="86" t="s">
        <v>29</v>
      </c>
      <c r="D108" s="88">
        <f>E108+F108+G108+H108+I108+J108+K108+L108+M108</f>
        <v>4279</v>
      </c>
      <c r="E108" s="93">
        <f>E113+E116</f>
        <v>0</v>
      </c>
      <c r="F108" s="93">
        <v>3</v>
      </c>
      <c r="G108" s="12">
        <f t="shared" ref="G108" si="0">G113+G116</f>
        <v>0</v>
      </c>
      <c r="H108" s="12">
        <f>53+73+9+2+30</f>
        <v>167</v>
      </c>
      <c r="I108" s="12">
        <f>22+4+25</f>
        <v>51</v>
      </c>
      <c r="J108" s="12">
        <f>J113+J116</f>
        <v>0</v>
      </c>
      <c r="K108" s="10">
        <v>180</v>
      </c>
      <c r="L108" s="10">
        <v>3878</v>
      </c>
      <c r="M108" s="11"/>
    </row>
    <row r="109" spans="1:13" ht="32.25" thickBot="1">
      <c r="A109" s="25" t="s">
        <v>35</v>
      </c>
      <c r="B109" s="81" t="s">
        <v>17</v>
      </c>
      <c r="C109" s="94" t="s">
        <v>29</v>
      </c>
      <c r="D109" s="88">
        <f>E109+F109+G109+H109+I109+J109+K109+L109+M109</f>
        <v>4116</v>
      </c>
      <c r="E109" s="95">
        <f>E114+E117</f>
        <v>0</v>
      </c>
      <c r="F109" s="95">
        <v>3</v>
      </c>
      <c r="G109" s="14">
        <f t="shared" ref="G109" si="1">G114+G117</f>
        <v>0</v>
      </c>
      <c r="H109" s="14">
        <f>4+21+1+11</f>
        <v>37</v>
      </c>
      <c r="I109" s="14">
        <f>4+1+13</f>
        <v>18</v>
      </c>
      <c r="J109" s="14">
        <f>J114+J117</f>
        <v>0</v>
      </c>
      <c r="K109" s="10">
        <v>180</v>
      </c>
      <c r="L109" s="10">
        <v>3878</v>
      </c>
      <c r="M109" s="11"/>
    </row>
    <row r="110" spans="1:13" ht="79.5" thickBot="1">
      <c r="A110" s="25" t="s">
        <v>36</v>
      </c>
      <c r="B110" s="81" t="s">
        <v>18</v>
      </c>
      <c r="C110" s="94" t="s">
        <v>29</v>
      </c>
      <c r="D110" s="88">
        <f>E110+F110+G110+H110+I110+J110+K110+L110+M110</f>
        <v>9</v>
      </c>
      <c r="E110" s="82"/>
      <c r="F110" s="82"/>
      <c r="G110" s="9"/>
      <c r="H110" s="9">
        <f>5+1</f>
        <v>6</v>
      </c>
      <c r="I110" s="9"/>
      <c r="J110" s="9"/>
      <c r="K110" s="15">
        <f>K118</f>
        <v>0</v>
      </c>
      <c r="L110" s="15">
        <v>3</v>
      </c>
      <c r="M110" s="11"/>
    </row>
    <row r="111" spans="1:13" ht="48" thickBot="1">
      <c r="A111" s="25" t="s">
        <v>51</v>
      </c>
      <c r="B111" s="81" t="s">
        <v>86</v>
      </c>
      <c r="C111" s="94" t="s">
        <v>29</v>
      </c>
      <c r="D111" s="88">
        <f>E111+F111+G111+H111+I111+J111+M111</f>
        <v>140</v>
      </c>
      <c r="E111" s="95">
        <f>E113+E119</f>
        <v>0</v>
      </c>
      <c r="F111" s="95">
        <v>1</v>
      </c>
      <c r="G111" s="14">
        <f t="shared" ref="G111" si="2">G113+G119</f>
        <v>0</v>
      </c>
      <c r="H111" s="14">
        <f>34+46+5+1+18</f>
        <v>104</v>
      </c>
      <c r="I111" s="14">
        <f>15+2+18</f>
        <v>35</v>
      </c>
      <c r="J111" s="14">
        <f>J113+J119</f>
        <v>0</v>
      </c>
      <c r="K111" s="26" t="s">
        <v>16</v>
      </c>
      <c r="L111" s="26" t="s">
        <v>16</v>
      </c>
      <c r="M111" s="11"/>
    </row>
    <row r="112" spans="1:13" ht="79.5" thickBot="1">
      <c r="A112" s="25" t="s">
        <v>37</v>
      </c>
      <c r="B112" s="81" t="s">
        <v>19</v>
      </c>
      <c r="C112" s="94" t="s">
        <v>29</v>
      </c>
      <c r="D112" s="88">
        <f>E112+F112+G112+H112+I112+J112+M112</f>
        <v>29</v>
      </c>
      <c r="E112" s="95">
        <f>E114+E120</f>
        <v>0</v>
      </c>
      <c r="F112" s="95">
        <v>1</v>
      </c>
      <c r="G112" s="14">
        <f t="shared" ref="G112:J112" si="3">G114+G120</f>
        <v>0</v>
      </c>
      <c r="H112" s="14">
        <f>15+5</f>
        <v>20</v>
      </c>
      <c r="I112" s="14">
        <f>3+5</f>
        <v>8</v>
      </c>
      <c r="J112" s="14">
        <f t="shared" si="3"/>
        <v>0</v>
      </c>
      <c r="K112" s="26" t="s">
        <v>16</v>
      </c>
      <c r="L112" s="26" t="s">
        <v>16</v>
      </c>
      <c r="M112" s="11"/>
    </row>
    <row r="113" spans="1:13" ht="79.5" thickBot="1">
      <c r="A113" s="25" t="s">
        <v>52</v>
      </c>
      <c r="B113" s="81" t="s">
        <v>87</v>
      </c>
      <c r="C113" s="94" t="s">
        <v>29</v>
      </c>
      <c r="D113" s="88">
        <f>E113+F113+G113+H113+I113+J113+M113</f>
        <v>26</v>
      </c>
      <c r="E113" s="82"/>
      <c r="F113" s="82">
        <v>1</v>
      </c>
      <c r="G113" s="9"/>
      <c r="H113" s="9">
        <f>10+8+1+1+3</f>
        <v>23</v>
      </c>
      <c r="I113" s="9">
        <v>2</v>
      </c>
      <c r="J113" s="9"/>
      <c r="K113" s="26" t="s">
        <v>16</v>
      </c>
      <c r="L113" s="26" t="s">
        <v>16</v>
      </c>
      <c r="M113" s="11"/>
    </row>
    <row r="114" spans="1:13" ht="79.5" thickBot="1">
      <c r="A114" s="25" t="s">
        <v>56</v>
      </c>
      <c r="B114" s="81" t="s">
        <v>39</v>
      </c>
      <c r="C114" s="94" t="s">
        <v>29</v>
      </c>
      <c r="D114" s="88">
        <f>E114+F114+G114+H114+I114+J114+M114</f>
        <v>2</v>
      </c>
      <c r="E114" s="82"/>
      <c r="F114" s="82">
        <v>1</v>
      </c>
      <c r="G114" s="9"/>
      <c r="H114" s="9">
        <v>1</v>
      </c>
      <c r="I114" s="9"/>
      <c r="J114" s="9"/>
      <c r="K114" s="26" t="s">
        <v>16</v>
      </c>
      <c r="L114" s="26" t="s">
        <v>16</v>
      </c>
      <c r="M114" s="11"/>
    </row>
    <row r="115" spans="1:13" ht="111" thickBot="1">
      <c r="A115" s="25" t="s">
        <v>57</v>
      </c>
      <c r="B115" s="81" t="s">
        <v>20</v>
      </c>
      <c r="C115" s="94" t="s">
        <v>29</v>
      </c>
      <c r="D115" s="88">
        <f>E115+F115+G115+H115+I115+J115+M115</f>
        <v>2</v>
      </c>
      <c r="E115" s="82"/>
      <c r="F115" s="82"/>
      <c r="G115" s="9"/>
      <c r="H115" s="9">
        <f>2</f>
        <v>2</v>
      </c>
      <c r="I115" s="9"/>
      <c r="J115" s="9"/>
      <c r="K115" s="26" t="s">
        <v>16</v>
      </c>
      <c r="L115" s="26" t="s">
        <v>16</v>
      </c>
      <c r="M115" s="11"/>
    </row>
    <row r="116" spans="1:13" ht="48" thickBot="1">
      <c r="A116" s="25" t="s">
        <v>58</v>
      </c>
      <c r="B116" s="81" t="s">
        <v>21</v>
      </c>
      <c r="C116" s="94" t="s">
        <v>29</v>
      </c>
      <c r="D116" s="88">
        <f>E116+F116+G116+H116+I116+J116+K116+L116+M116</f>
        <v>4623</v>
      </c>
      <c r="E116" s="82"/>
      <c r="F116" s="82">
        <v>38</v>
      </c>
      <c r="G116" s="9"/>
      <c r="H116" s="9">
        <f>43+1+388+16+1+28+1</f>
        <v>478</v>
      </c>
      <c r="I116" s="9">
        <f>22+4+23+32-13-19</f>
        <v>49</v>
      </c>
      <c r="J116" s="9"/>
      <c r="K116" s="9">
        <v>180</v>
      </c>
      <c r="L116" s="9">
        <v>3878</v>
      </c>
      <c r="M116" s="11"/>
    </row>
    <row r="117" spans="1:13" ht="48" thickBot="1">
      <c r="A117" s="25" t="s">
        <v>59</v>
      </c>
      <c r="B117" s="78" t="s">
        <v>40</v>
      </c>
      <c r="C117" s="51" t="s">
        <v>29</v>
      </c>
      <c r="D117" s="88">
        <f>E117+F117+G117+H117+I117+J117+K117+L117+M117</f>
        <v>4222</v>
      </c>
      <c r="E117" s="80"/>
      <c r="F117" s="80">
        <v>38</v>
      </c>
      <c r="G117" s="8"/>
      <c r="H117" s="8">
        <f>4+74+1+11+18</f>
        <v>108</v>
      </c>
      <c r="I117" s="8">
        <f>4+1+13</f>
        <v>18</v>
      </c>
      <c r="J117" s="8"/>
      <c r="K117" s="16">
        <f>K116</f>
        <v>180</v>
      </c>
      <c r="L117" s="16">
        <f>L116</f>
        <v>3878</v>
      </c>
      <c r="M117" s="11"/>
    </row>
    <row r="118" spans="1:13" ht="79.5" thickBot="1">
      <c r="A118" s="25" t="s">
        <v>60</v>
      </c>
      <c r="B118" s="81" t="s">
        <v>18</v>
      </c>
      <c r="C118" s="94" t="s">
        <v>29</v>
      </c>
      <c r="D118" s="88">
        <f>E118+F118+G118+H118+I118+J118+K118+L118+M118</f>
        <v>8</v>
      </c>
      <c r="E118" s="82"/>
      <c r="F118" s="82"/>
      <c r="G118" s="9"/>
      <c r="H118" s="9">
        <f>4+1</f>
        <v>5</v>
      </c>
      <c r="I118" s="9"/>
      <c r="J118" s="9"/>
      <c r="K118" s="9"/>
      <c r="L118" s="9">
        <v>3</v>
      </c>
      <c r="M118" s="11"/>
    </row>
    <row r="119" spans="1:13" ht="79.5" thickBot="1">
      <c r="A119" s="25">
        <v>7</v>
      </c>
      <c r="B119" s="81" t="s">
        <v>128</v>
      </c>
      <c r="C119" s="94" t="s">
        <v>29</v>
      </c>
      <c r="D119" s="88">
        <f t="shared" ref="D119:D130" si="4">E119+F119+G119+H119+I119+J119+M119</f>
        <v>238</v>
      </c>
      <c r="E119" s="82"/>
      <c r="F119" s="82"/>
      <c r="G119" s="9"/>
      <c r="H119" s="9">
        <f>24+162+4+15</f>
        <v>205</v>
      </c>
      <c r="I119" s="9">
        <f>15+2+16</f>
        <v>33</v>
      </c>
      <c r="J119" s="9"/>
      <c r="K119" s="26" t="s">
        <v>16</v>
      </c>
      <c r="L119" s="26" t="s">
        <v>16</v>
      </c>
      <c r="M119" s="11"/>
    </row>
    <row r="120" spans="1:13" ht="63.75" thickBot="1">
      <c r="A120" s="4" t="s">
        <v>62</v>
      </c>
      <c r="B120" s="90" t="s">
        <v>41</v>
      </c>
      <c r="C120" s="91" t="s">
        <v>29</v>
      </c>
      <c r="D120" s="88">
        <f t="shared" si="4"/>
        <v>30</v>
      </c>
      <c r="E120" s="82"/>
      <c r="F120" s="82"/>
      <c r="G120" s="9"/>
      <c r="H120" s="9">
        <f>14+5</f>
        <v>19</v>
      </c>
      <c r="I120" s="9">
        <f>3+8</f>
        <v>11</v>
      </c>
      <c r="J120" s="9"/>
      <c r="K120" s="26" t="s">
        <v>16</v>
      </c>
      <c r="L120" s="26" t="s">
        <v>16</v>
      </c>
      <c r="M120" s="11"/>
    </row>
    <row r="121" spans="1:13" ht="32.25" thickBot="1">
      <c r="A121" s="5">
        <v>8</v>
      </c>
      <c r="B121" s="90" t="s">
        <v>23</v>
      </c>
      <c r="C121" s="91" t="s">
        <v>42</v>
      </c>
      <c r="D121" s="88">
        <f t="shared" si="4"/>
        <v>445</v>
      </c>
      <c r="E121" s="82"/>
      <c r="F121" s="82">
        <v>6</v>
      </c>
      <c r="G121" s="9"/>
      <c r="H121" s="9">
        <f>132+206+30+2+7</f>
        <v>377</v>
      </c>
      <c r="I121" s="9">
        <f>36+7+19</f>
        <v>62</v>
      </c>
      <c r="J121" s="9"/>
      <c r="K121" s="26" t="s">
        <v>16</v>
      </c>
      <c r="L121" s="26" t="s">
        <v>16</v>
      </c>
      <c r="M121" s="11"/>
    </row>
    <row r="122" spans="1:13" ht="48" thickBot="1">
      <c r="A122" s="4" t="s">
        <v>63</v>
      </c>
      <c r="B122" s="90" t="s">
        <v>24</v>
      </c>
      <c r="C122" s="91" t="s">
        <v>42</v>
      </c>
      <c r="D122" s="88">
        <f t="shared" si="4"/>
        <v>70</v>
      </c>
      <c r="E122" s="82"/>
      <c r="F122" s="82">
        <v>6</v>
      </c>
      <c r="G122" s="9"/>
      <c r="H122" s="9">
        <f>13+43</f>
        <v>56</v>
      </c>
      <c r="I122" s="9">
        <f>6+2</f>
        <v>8</v>
      </c>
      <c r="J122" s="9"/>
      <c r="K122" s="26" t="s">
        <v>16</v>
      </c>
      <c r="L122" s="26" t="s">
        <v>16</v>
      </c>
      <c r="M122" s="11"/>
    </row>
    <row r="123" spans="1:13" ht="48" thickBot="1">
      <c r="A123" s="4" t="s">
        <v>124</v>
      </c>
      <c r="B123" s="90" t="s">
        <v>125</v>
      </c>
      <c r="C123" s="91" t="s">
        <v>42</v>
      </c>
      <c r="D123" s="88">
        <f t="shared" si="4"/>
        <v>6</v>
      </c>
      <c r="E123" s="82"/>
      <c r="F123" s="82"/>
      <c r="G123" s="9"/>
      <c r="H123" s="9">
        <f>6</f>
        <v>6</v>
      </c>
      <c r="I123" s="9"/>
      <c r="J123" s="9"/>
      <c r="K123" s="26" t="s">
        <v>16</v>
      </c>
      <c r="L123" s="26" t="s">
        <v>16</v>
      </c>
      <c r="M123" s="9"/>
    </row>
    <row r="124" spans="1:13" ht="63.75" thickBot="1">
      <c r="A124" s="4" t="s">
        <v>64</v>
      </c>
      <c r="B124" s="90" t="s">
        <v>88</v>
      </c>
      <c r="C124" s="91" t="s">
        <v>42</v>
      </c>
      <c r="D124" s="88">
        <f t="shared" si="4"/>
        <v>102</v>
      </c>
      <c r="E124" s="82"/>
      <c r="F124" s="82"/>
      <c r="G124" s="9"/>
      <c r="H124" s="9">
        <f>19+49+8+19+1</f>
        <v>96</v>
      </c>
      <c r="I124" s="9">
        <f>6</f>
        <v>6</v>
      </c>
      <c r="J124" s="9"/>
      <c r="K124" s="26" t="s">
        <v>16</v>
      </c>
      <c r="L124" s="26" t="s">
        <v>16</v>
      </c>
      <c r="M124" s="9"/>
    </row>
    <row r="125" spans="1:13" ht="48" thickBot="1">
      <c r="A125" s="4" t="s">
        <v>65</v>
      </c>
      <c r="B125" s="90" t="s">
        <v>22</v>
      </c>
      <c r="C125" s="91" t="s">
        <v>42</v>
      </c>
      <c r="D125" s="88">
        <f t="shared" si="4"/>
        <v>12</v>
      </c>
      <c r="E125" s="82"/>
      <c r="F125" s="82"/>
      <c r="G125" s="9"/>
      <c r="H125" s="9">
        <f>2+9</f>
        <v>11</v>
      </c>
      <c r="I125" s="9">
        <f>1</f>
        <v>1</v>
      </c>
      <c r="J125" s="9"/>
      <c r="K125" s="26" t="s">
        <v>16</v>
      </c>
      <c r="L125" s="26" t="s">
        <v>16</v>
      </c>
      <c r="M125" s="9"/>
    </row>
    <row r="126" spans="1:13" ht="63.75" thickBot="1">
      <c r="A126" s="5">
        <v>10</v>
      </c>
      <c r="B126" s="90" t="s">
        <v>90</v>
      </c>
      <c r="C126" s="91" t="s">
        <v>34</v>
      </c>
      <c r="D126" s="96">
        <f t="shared" si="4"/>
        <v>762255.18200000003</v>
      </c>
      <c r="E126" s="85"/>
      <c r="F126" s="85">
        <v>12411.65</v>
      </c>
      <c r="G126" s="19"/>
      <c r="H126" s="19">
        <f>446404.1+82.8+230601.8+22787+19.305+1017.51+34072.7+37.53+39.61+2303.377</f>
        <v>737365.73199999996</v>
      </c>
      <c r="I126" s="19">
        <f>8212.5+425.3+3840</f>
        <v>12477.8</v>
      </c>
      <c r="J126" s="19"/>
      <c r="K126" s="21">
        <f>758.1+9860.95+28.7+366.132+92.29+642.6</f>
        <v>11748.772000000003</v>
      </c>
      <c r="L126" s="21">
        <f>9894.9+1340.5+73520.1+26867.9+1982.472+11860.41+1999.9+1350.7+867.7559+1881.579+381.1+3.1</f>
        <v>131950.41690000001</v>
      </c>
      <c r="M126" s="9"/>
    </row>
    <row r="127" spans="1:13" ht="48" thickBot="1">
      <c r="A127" s="4" t="s">
        <v>66</v>
      </c>
      <c r="B127" s="90" t="s">
        <v>53</v>
      </c>
      <c r="C127" s="91" t="s">
        <v>34</v>
      </c>
      <c r="D127" s="96">
        <f t="shared" si="4"/>
        <v>68033.87</v>
      </c>
      <c r="E127" s="85"/>
      <c r="F127" s="85"/>
      <c r="G127" s="19"/>
      <c r="H127" s="19">
        <f>1071.2+48781+14812.97</f>
        <v>64665.17</v>
      </c>
      <c r="I127" s="19">
        <f>673.2+200+2495.5</f>
        <v>3368.7</v>
      </c>
      <c r="J127" s="19"/>
      <c r="K127" s="21">
        <f>758.1+9860.95+28.7+366.132+92.29+642.6</f>
        <v>11748.772000000003</v>
      </c>
      <c r="L127" s="21">
        <f>9894.9+1340.5+73520.1+26867.9+1982.472+11860.41+1999.9+1350.7+867.75592+1881.579+381.1+3.1</f>
        <v>131950.41691999999</v>
      </c>
      <c r="M127" s="9"/>
    </row>
    <row r="128" spans="1:13" ht="79.5" thickBot="1">
      <c r="A128" s="4" t="s">
        <v>122</v>
      </c>
      <c r="B128" s="90" t="s">
        <v>18</v>
      </c>
      <c r="C128" s="91" t="s">
        <v>34</v>
      </c>
      <c r="D128" s="96">
        <f t="shared" si="4"/>
        <v>33387.699999999997</v>
      </c>
      <c r="E128" s="85"/>
      <c r="F128" s="85"/>
      <c r="G128" s="19"/>
      <c r="H128" s="19">
        <f>32199.2+1188.5</f>
        <v>33387.699999999997</v>
      </c>
      <c r="I128" s="19"/>
      <c r="J128" s="19"/>
      <c r="K128" s="22">
        <f>K142</f>
        <v>0</v>
      </c>
      <c r="L128" s="22">
        <v>453.3</v>
      </c>
      <c r="M128" s="9"/>
    </row>
    <row r="129" spans="1:13" ht="79.5" thickBot="1">
      <c r="A129" s="4">
        <v>11</v>
      </c>
      <c r="B129" s="87" t="s">
        <v>91</v>
      </c>
      <c r="C129" s="91" t="s">
        <v>34</v>
      </c>
      <c r="D129" s="96">
        <f t="shared" si="4"/>
        <v>94100.7</v>
      </c>
      <c r="E129" s="82"/>
      <c r="F129" s="82"/>
      <c r="G129" s="9"/>
      <c r="H129" s="23">
        <f>44244+48525.3+895.8+369.2</f>
        <v>94034.3</v>
      </c>
      <c r="I129" s="9">
        <v>66.400000000000006</v>
      </c>
      <c r="J129" s="9"/>
      <c r="K129" s="26" t="s">
        <v>16</v>
      </c>
      <c r="L129" s="26" t="s">
        <v>16</v>
      </c>
      <c r="M129" s="9"/>
    </row>
    <row r="130" spans="1:13" ht="32.25" thickBot="1">
      <c r="A130" s="4" t="s">
        <v>67</v>
      </c>
      <c r="B130" s="90" t="s">
        <v>48</v>
      </c>
      <c r="C130" s="91" t="s">
        <v>34</v>
      </c>
      <c r="D130" s="96">
        <f t="shared" si="4"/>
        <v>0</v>
      </c>
      <c r="E130" s="82"/>
      <c r="F130" s="82"/>
      <c r="G130" s="9"/>
      <c r="H130" s="9"/>
      <c r="I130" s="9"/>
      <c r="J130" s="9"/>
      <c r="K130" s="26" t="s">
        <v>16</v>
      </c>
      <c r="L130" s="26" t="s">
        <v>16</v>
      </c>
      <c r="M130" s="9"/>
    </row>
    <row r="131" spans="1:13" ht="79.5" thickBot="1">
      <c r="A131" s="4" t="s">
        <v>123</v>
      </c>
      <c r="B131" s="90" t="s">
        <v>18</v>
      </c>
      <c r="C131" s="91" t="s">
        <v>34</v>
      </c>
      <c r="D131" s="96">
        <f>E131+F131+G131+H131+I131+J131+K131+L131+M131</f>
        <v>11372.8</v>
      </c>
      <c r="E131" s="82"/>
      <c r="F131" s="82"/>
      <c r="G131" s="9"/>
      <c r="H131" s="19">
        <f>11372.8</f>
        <v>11372.8</v>
      </c>
      <c r="I131" s="9"/>
      <c r="J131" s="9"/>
      <c r="K131" s="9"/>
      <c r="L131" s="9"/>
      <c r="M131" s="9"/>
    </row>
    <row r="132" spans="1:13" ht="63.75" thickBot="1">
      <c r="A132" s="5">
        <v>12</v>
      </c>
      <c r="B132" s="90" t="s">
        <v>89</v>
      </c>
      <c r="C132" s="91" t="s">
        <v>34</v>
      </c>
      <c r="D132" s="96">
        <f>E132+F132+G132+H132+I132+J132+K132+L132+M132</f>
        <v>858167.89939000015</v>
      </c>
      <c r="E132" s="85"/>
      <c r="F132" s="85">
        <v>12411.65</v>
      </c>
      <c r="G132" s="19"/>
      <c r="H132" s="19">
        <f>417143.4+23.4+210369.3+27323.8+848.49+32384.4+37.53+2274.11447</f>
        <v>690404.43447000021</v>
      </c>
      <c r="I132" s="19">
        <f>7387.3+425.3+3840</f>
        <v>11652.6</v>
      </c>
      <c r="J132" s="19"/>
      <c r="K132" s="21">
        <f>758.1+9860.95+28.7+366.132+92.29+642.6</f>
        <v>11748.772000000003</v>
      </c>
      <c r="L132" s="21">
        <f>9894.9+1340.5+73520.1+26867.9+1982.472+11860.41+1999.926+1350.7+867.75592+1881.579+381.1+3.1</f>
        <v>131950.44292</v>
      </c>
      <c r="M132" s="11"/>
    </row>
    <row r="133" spans="1:13" ht="48" thickBot="1">
      <c r="A133" s="4" t="s">
        <v>68</v>
      </c>
      <c r="B133" s="90" t="s">
        <v>24</v>
      </c>
      <c r="C133" s="91" t="s">
        <v>34</v>
      </c>
      <c r="D133" s="96">
        <f>E133+F133+G133+H133+I133+J133+K133+L133+M133</f>
        <v>233579.56892999998</v>
      </c>
      <c r="E133" s="85"/>
      <c r="F133" s="85">
        <v>12411.65</v>
      </c>
      <c r="G133" s="19"/>
      <c r="H133" s="19">
        <f>2477.3+48781+8028.7+14812.97</f>
        <v>74099.97</v>
      </c>
      <c r="I133" s="19">
        <f>790.1+200+2495.5333-116.9</f>
        <v>3368.7332999999999</v>
      </c>
      <c r="J133" s="19"/>
      <c r="K133" s="21">
        <f>758.1+9860.95+28.7+366.132+92.29+642.6</f>
        <v>11748.772000000003</v>
      </c>
      <c r="L133" s="21">
        <f>9894.9+1340.5+73520.1+26867.9+1982.472+11860.41+1999.92671+1350.7+867.75592+1881.579+381.1+3.1</f>
        <v>131950.44362999999</v>
      </c>
      <c r="M133" s="11"/>
    </row>
    <row r="134" spans="1:13" ht="79.5" thickBot="1">
      <c r="A134" s="4" t="s">
        <v>93</v>
      </c>
      <c r="B134" s="90" t="s">
        <v>18</v>
      </c>
      <c r="C134" s="91" t="s">
        <v>34</v>
      </c>
      <c r="D134" s="96">
        <f>E134+F134+G134+H134+I134+J134+K134+L134+M134</f>
        <v>33841.016000000003</v>
      </c>
      <c r="E134" s="85"/>
      <c r="F134" s="85"/>
      <c r="G134" s="19"/>
      <c r="H134" s="19">
        <f>32199.2+1188.516</f>
        <v>33387.716</v>
      </c>
      <c r="I134" s="19"/>
      <c r="J134" s="19"/>
      <c r="K134" s="22">
        <f>K142</f>
        <v>0</v>
      </c>
      <c r="L134" s="22">
        <f>L142</f>
        <v>453.3</v>
      </c>
      <c r="M134" s="9"/>
    </row>
    <row r="135" spans="1:13" ht="79.5" thickBot="1">
      <c r="A135" s="25">
        <v>13</v>
      </c>
      <c r="B135" s="81" t="s">
        <v>92</v>
      </c>
      <c r="C135" s="94" t="s">
        <v>34</v>
      </c>
      <c r="D135" s="96">
        <f>E135+F135+G135+H135+I135+J135+M135</f>
        <v>535486.33000000007</v>
      </c>
      <c r="E135" s="85"/>
      <c r="F135" s="85">
        <v>3383.07</v>
      </c>
      <c r="G135" s="19"/>
      <c r="H135" s="19">
        <f>379555.2+134506.2+2761.7+110.06+7577.3</f>
        <v>524510.46000000008</v>
      </c>
      <c r="I135" s="19">
        <f>5081.4+44.8+2466.6</f>
        <v>7592.7999999999993</v>
      </c>
      <c r="J135" s="9"/>
      <c r="K135" s="26" t="s">
        <v>16</v>
      </c>
      <c r="L135" s="26" t="s">
        <v>16</v>
      </c>
      <c r="M135" s="9"/>
    </row>
    <row r="136" spans="1:13" ht="63.75" thickBot="1">
      <c r="A136" s="25" t="s">
        <v>69</v>
      </c>
      <c r="B136" s="81" t="s">
        <v>25</v>
      </c>
      <c r="C136" s="94" t="s">
        <v>34</v>
      </c>
      <c r="D136" s="96">
        <f>E136+F136+G136+H136+I136+J136+M136</f>
        <v>27381.575669999998</v>
      </c>
      <c r="E136" s="85"/>
      <c r="F136" s="85">
        <v>3383.07</v>
      </c>
      <c r="G136" s="19"/>
      <c r="H136" s="19">
        <f>19232.5+2911.944</f>
        <v>22144.444</v>
      </c>
      <c r="I136" s="19">
        <f>607.2+1246.86167</f>
        <v>1854.06167</v>
      </c>
      <c r="J136" s="9"/>
      <c r="K136" s="26" t="s">
        <v>16</v>
      </c>
      <c r="L136" s="26" t="s">
        <v>16</v>
      </c>
      <c r="M136" s="9"/>
    </row>
    <row r="137" spans="1:13" ht="95.25" thickBot="1">
      <c r="A137" s="25" t="s">
        <v>71</v>
      </c>
      <c r="B137" s="81" t="s">
        <v>70</v>
      </c>
      <c r="C137" s="94" t="s">
        <v>34</v>
      </c>
      <c r="D137" s="96">
        <f>E137+F137+G137+H137+I137+J137+M137</f>
        <v>79269.659999999989</v>
      </c>
      <c r="E137" s="85"/>
      <c r="F137" s="85">
        <v>3383.1</v>
      </c>
      <c r="G137" s="19"/>
      <c r="H137" s="19">
        <f>25718.2+48781+407.2+110.06+803.7</f>
        <v>75820.159999999989</v>
      </c>
      <c r="I137" s="19">
        <v>66.400000000000006</v>
      </c>
      <c r="J137" s="9"/>
      <c r="K137" s="26" t="s">
        <v>16</v>
      </c>
      <c r="L137" s="26" t="s">
        <v>16</v>
      </c>
      <c r="M137" s="9"/>
    </row>
    <row r="138" spans="1:13" ht="79.5" thickBot="1">
      <c r="A138" s="25" t="s">
        <v>72</v>
      </c>
      <c r="B138" s="78" t="s">
        <v>26</v>
      </c>
      <c r="C138" s="51" t="s">
        <v>34</v>
      </c>
      <c r="D138" s="96">
        <f>E138+F138+G138+H138+I138+J138+M138</f>
        <v>3383.1</v>
      </c>
      <c r="E138" s="84"/>
      <c r="F138" s="84">
        <v>3383.1</v>
      </c>
      <c r="G138" s="18"/>
      <c r="H138" s="18"/>
      <c r="I138" s="18"/>
      <c r="J138" s="8"/>
      <c r="K138" s="24" t="s">
        <v>16</v>
      </c>
      <c r="L138" s="24" t="s">
        <v>16</v>
      </c>
      <c r="M138" s="9"/>
    </row>
    <row r="139" spans="1:13" ht="111" thickBot="1">
      <c r="A139" s="4" t="s">
        <v>73</v>
      </c>
      <c r="B139" s="90" t="s">
        <v>27</v>
      </c>
      <c r="C139" s="91" t="s">
        <v>34</v>
      </c>
      <c r="D139" s="96">
        <f>E139+F139+G139+H139+I139+J139+M139</f>
        <v>15365</v>
      </c>
      <c r="E139" s="85"/>
      <c r="F139" s="85"/>
      <c r="G139" s="19"/>
      <c r="H139" s="19">
        <f>15365</f>
        <v>15365</v>
      </c>
      <c r="I139" s="19"/>
      <c r="J139" s="9"/>
      <c r="K139" s="26" t="s">
        <v>16</v>
      </c>
      <c r="L139" s="26" t="s">
        <v>16</v>
      </c>
      <c r="M139" s="9"/>
    </row>
    <row r="140" spans="1:13" ht="48" thickBot="1">
      <c r="A140" s="4" t="s">
        <v>74</v>
      </c>
      <c r="B140" s="90" t="s">
        <v>45</v>
      </c>
      <c r="C140" s="91" t="s">
        <v>34</v>
      </c>
      <c r="D140" s="96">
        <f t="shared" ref="D140:D145" si="5">E140+F140+G140+H140+I140+J140+K140+L140+M140</f>
        <v>736997.35010000004</v>
      </c>
      <c r="E140" s="85"/>
      <c r="F140" s="85">
        <v>7446.84</v>
      </c>
      <c r="G140" s="19"/>
      <c r="H140" s="19">
        <f>378058.7+20.4+147752.2+20506.4+610.91+26478.2+32.57+2274.11447</f>
        <v>575733.49447000003</v>
      </c>
      <c r="I140" s="19">
        <f>6657.5+387.2+3073.1</f>
        <v>10117.799999999999</v>
      </c>
      <c r="J140" s="19"/>
      <c r="K140" s="19">
        <f>758.1+9860.95+28.7+366.132+92.29+642.6</f>
        <v>11748.772000000003</v>
      </c>
      <c r="L140" s="19">
        <f>9894.9+1340.5+73520.1+26867.9+1982.472+11860.41+1999.92671+1350.7+867.75592+1881.579+381.1+3.1</f>
        <v>131950.44362999999</v>
      </c>
      <c r="M140" s="9"/>
    </row>
    <row r="141" spans="1:13" ht="48" thickBot="1">
      <c r="A141" s="4" t="s">
        <v>75</v>
      </c>
      <c r="B141" s="90" t="s">
        <v>381</v>
      </c>
      <c r="C141" s="91" t="s">
        <v>34</v>
      </c>
      <c r="D141" s="96">
        <f t="shared" si="5"/>
        <v>216301.90321999998</v>
      </c>
      <c r="E141" s="85"/>
      <c r="F141" s="85">
        <v>7446.84</v>
      </c>
      <c r="G141" s="19"/>
      <c r="H141" s="19">
        <f>1071.2+41213.2+6015.1+14176.05959</f>
        <v>62475.55958999999</v>
      </c>
      <c r="I141" s="19">
        <f>673.2+190+1817.088</f>
        <v>2680.288</v>
      </c>
      <c r="J141" s="19"/>
      <c r="K141" s="21">
        <f>K140</f>
        <v>11748.772000000003</v>
      </c>
      <c r="L141" s="21">
        <f>L140</f>
        <v>131950.44362999999</v>
      </c>
      <c r="M141" s="9"/>
    </row>
    <row r="142" spans="1:13" ht="79.5" thickBot="1">
      <c r="A142" s="4" t="s">
        <v>94</v>
      </c>
      <c r="B142" s="90" t="s">
        <v>18</v>
      </c>
      <c r="C142" s="91" t="s">
        <v>34</v>
      </c>
      <c r="D142" s="96">
        <f t="shared" si="5"/>
        <v>18498.399999999998</v>
      </c>
      <c r="E142" s="85"/>
      <c r="F142" s="85"/>
      <c r="G142" s="19"/>
      <c r="H142" s="19">
        <f>16856.6+1188.5</f>
        <v>18045.099999999999</v>
      </c>
      <c r="I142" s="19"/>
      <c r="J142" s="19"/>
      <c r="K142" s="19"/>
      <c r="L142" s="19">
        <v>453.3</v>
      </c>
      <c r="M142" s="9"/>
    </row>
    <row r="143" spans="1:13" ht="79.5" thickBot="1">
      <c r="A143" s="4" t="s">
        <v>126</v>
      </c>
      <c r="B143" s="97" t="s">
        <v>127</v>
      </c>
      <c r="C143" s="91" t="s">
        <v>34</v>
      </c>
      <c r="D143" s="96">
        <f t="shared" si="5"/>
        <v>454378.2</v>
      </c>
      <c r="E143" s="85"/>
      <c r="F143" s="85"/>
      <c r="G143" s="19"/>
      <c r="H143" s="19">
        <f>352255.4+20.4+85935.3+2348.5+6755.6</f>
        <v>447315.20000000001</v>
      </c>
      <c r="I143" s="19">
        <f>4573.7+43.4+2445.9</f>
        <v>7063</v>
      </c>
      <c r="J143" s="19"/>
      <c r="K143" s="19"/>
      <c r="L143" s="19"/>
      <c r="M143" s="9"/>
    </row>
    <row r="144" spans="1:13" ht="63.75" thickBot="1">
      <c r="A144" s="4" t="s">
        <v>129</v>
      </c>
      <c r="B144" s="97" t="s">
        <v>41</v>
      </c>
      <c r="C144" s="91" t="s">
        <v>34</v>
      </c>
      <c r="D144" s="96">
        <f t="shared" si="5"/>
        <v>23437.750670000001</v>
      </c>
      <c r="E144" s="85"/>
      <c r="F144" s="85"/>
      <c r="G144" s="19"/>
      <c r="H144" s="19">
        <f>18697.6+2910.989</f>
        <v>21608.589</v>
      </c>
      <c r="I144" s="19">
        <f>585+1244.16167</f>
        <v>1829.16167</v>
      </c>
      <c r="J144" s="19"/>
      <c r="K144" s="19"/>
      <c r="L144" s="19"/>
      <c r="M144" s="9"/>
    </row>
    <row r="145" spans="1:13" ht="79.5" thickBot="1">
      <c r="A145" s="4" t="s">
        <v>76</v>
      </c>
      <c r="B145" s="97" t="s">
        <v>95</v>
      </c>
      <c r="C145" s="91" t="s">
        <v>34</v>
      </c>
      <c r="D145" s="96">
        <f t="shared" si="5"/>
        <v>629708.57317000011</v>
      </c>
      <c r="E145" s="85"/>
      <c r="F145" s="85">
        <v>7446.8</v>
      </c>
      <c r="G145" s="19"/>
      <c r="H145" s="19">
        <f>341843.876+20.4+124683.6+2283.2+610.91+1779.59211+32.57+2171.3958</f>
        <v>473425.54391000007</v>
      </c>
      <c r="I145" s="19">
        <f>6475.3+12.5+3073.1</f>
        <v>9560.9</v>
      </c>
      <c r="J145" s="19"/>
      <c r="K145" s="19">
        <f>758.1+9860.95+28.7+366.132+92.29+642.6-1570.63</f>
        <v>10178.142000000003</v>
      </c>
      <c r="L145" s="19">
        <f>9894.9+1340.5+67324.3+25568+1827.77+11768.12+1999.926+377.42+258.35526+569.576-44+366.5+7845.82</f>
        <v>129097.18726000001</v>
      </c>
      <c r="M145" s="9"/>
    </row>
    <row r="146" spans="1:13" ht="32.25" thickBot="1">
      <c r="A146" s="4" t="s">
        <v>113</v>
      </c>
      <c r="B146" s="97" t="s">
        <v>112</v>
      </c>
      <c r="C146" s="91" t="s">
        <v>34</v>
      </c>
      <c r="D146" s="98">
        <f>446404.1+1360.9+326394.5+69185.7+1999.7+12471.3+37229.135+1383.27+789.21+3945.811+381.1</f>
        <v>901544.72599999991</v>
      </c>
      <c r="E146" s="99" t="s">
        <v>16</v>
      </c>
      <c r="F146" s="99" t="s">
        <v>16</v>
      </c>
      <c r="G146" s="17" t="s">
        <v>16</v>
      </c>
      <c r="H146" s="17" t="s">
        <v>16</v>
      </c>
      <c r="I146" s="17" t="s">
        <v>16</v>
      </c>
      <c r="J146" s="17" t="s">
        <v>16</v>
      </c>
      <c r="K146" s="17" t="s">
        <v>16</v>
      </c>
      <c r="L146" s="17" t="s">
        <v>16</v>
      </c>
      <c r="M146" s="17" t="s">
        <v>16</v>
      </c>
    </row>
    <row r="147" spans="1:13" ht="142.5" thickBot="1">
      <c r="A147" s="25" t="s">
        <v>77</v>
      </c>
      <c r="B147" s="100" t="s">
        <v>424</v>
      </c>
      <c r="C147" s="99" t="s">
        <v>34</v>
      </c>
      <c r="D147" s="98">
        <f>41719+20.4+46149.2+29639.4+610.91+2698.96+32.57+2274.11+62531.945</f>
        <v>185676.49500000002</v>
      </c>
      <c r="E147" s="99" t="s">
        <v>16</v>
      </c>
      <c r="F147" s="99" t="s">
        <v>16</v>
      </c>
      <c r="G147" s="17" t="s">
        <v>16</v>
      </c>
      <c r="H147" s="17" t="s">
        <v>16</v>
      </c>
      <c r="I147" s="17" t="s">
        <v>16</v>
      </c>
      <c r="J147" s="17" t="s">
        <v>16</v>
      </c>
      <c r="K147" s="17" t="s">
        <v>16</v>
      </c>
      <c r="L147" s="17" t="s">
        <v>16</v>
      </c>
      <c r="M147" s="17" t="s">
        <v>16</v>
      </c>
    </row>
    <row r="148" spans="1:13" ht="15.75" customHeight="1" thickBot="1">
      <c r="A148" s="174" t="s">
        <v>46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6"/>
    </row>
    <row r="149" spans="1:13" ht="126.75" thickBot="1">
      <c r="A149" s="25" t="s">
        <v>78</v>
      </c>
      <c r="B149" s="101" t="s">
        <v>43</v>
      </c>
      <c r="C149" s="94" t="s">
        <v>29</v>
      </c>
      <c r="D149" s="102">
        <f t="shared" ref="D149:D160" si="6">E149+F149+G149+H149+I149+J149</f>
        <v>307</v>
      </c>
      <c r="E149" s="82"/>
      <c r="F149" s="82">
        <v>38</v>
      </c>
      <c r="G149" s="9"/>
      <c r="H149" s="9">
        <f>13+1+286+16+1+8+1+3-74</f>
        <v>255</v>
      </c>
      <c r="I149" s="9">
        <f>10+3+1</f>
        <v>14</v>
      </c>
      <c r="J149" s="9"/>
      <c r="K149" s="24" t="s">
        <v>16</v>
      </c>
      <c r="L149" s="24" t="s">
        <v>16</v>
      </c>
      <c r="M149" s="7" t="s">
        <v>16</v>
      </c>
    </row>
    <row r="150" spans="1:13" ht="48" thickBot="1">
      <c r="A150" s="25" t="s">
        <v>79</v>
      </c>
      <c r="B150" s="101" t="s">
        <v>425</v>
      </c>
      <c r="C150" s="94" t="s">
        <v>29</v>
      </c>
      <c r="D150" s="102">
        <f t="shared" si="6"/>
        <v>307</v>
      </c>
      <c r="E150" s="82"/>
      <c r="F150" s="82">
        <v>38</v>
      </c>
      <c r="G150" s="9"/>
      <c r="H150" s="9">
        <f>13+1+286+16+1+8+1+3-74</f>
        <v>255</v>
      </c>
      <c r="I150" s="9">
        <f>10+3+1</f>
        <v>14</v>
      </c>
      <c r="J150" s="9"/>
      <c r="K150" s="24" t="s">
        <v>16</v>
      </c>
      <c r="L150" s="24" t="s">
        <v>16</v>
      </c>
      <c r="M150" s="7" t="s">
        <v>16</v>
      </c>
    </row>
    <row r="151" spans="1:13" ht="142.5" thickBot="1">
      <c r="A151" s="25" t="s">
        <v>80</v>
      </c>
      <c r="B151" s="101" t="s">
        <v>96</v>
      </c>
      <c r="C151" s="94" t="s">
        <v>29</v>
      </c>
      <c r="D151" s="102">
        <f t="shared" si="6"/>
        <v>149</v>
      </c>
      <c r="E151" s="82"/>
      <c r="F151" s="82">
        <v>38</v>
      </c>
      <c r="G151" s="9"/>
      <c r="H151" s="9">
        <f>5+84+4+3+5</f>
        <v>101</v>
      </c>
      <c r="I151" s="9">
        <f>7+2+1</f>
        <v>10</v>
      </c>
      <c r="J151" s="9"/>
      <c r="K151" s="24" t="s">
        <v>16</v>
      </c>
      <c r="L151" s="24" t="s">
        <v>16</v>
      </c>
      <c r="M151" s="7" t="s">
        <v>16</v>
      </c>
    </row>
    <row r="152" spans="1:13" ht="48" thickBot="1">
      <c r="A152" s="25" t="s">
        <v>81</v>
      </c>
      <c r="B152" s="101" t="s">
        <v>425</v>
      </c>
      <c r="C152" s="94" t="s">
        <v>29</v>
      </c>
      <c r="D152" s="102">
        <f t="shared" si="6"/>
        <v>149</v>
      </c>
      <c r="E152" s="82"/>
      <c r="F152" s="82">
        <v>38</v>
      </c>
      <c r="G152" s="9"/>
      <c r="H152" s="9">
        <f>5+84+4+3+5</f>
        <v>101</v>
      </c>
      <c r="I152" s="9">
        <f>7+2+1</f>
        <v>10</v>
      </c>
      <c r="J152" s="9"/>
      <c r="K152" s="24" t="s">
        <v>16</v>
      </c>
      <c r="L152" s="24" t="s">
        <v>16</v>
      </c>
      <c r="M152" s="7" t="s">
        <v>16</v>
      </c>
    </row>
    <row r="153" spans="1:13" ht="174" thickBot="1">
      <c r="A153" s="25" t="s">
        <v>82</v>
      </c>
      <c r="B153" s="101" t="s">
        <v>54</v>
      </c>
      <c r="C153" s="94" t="s">
        <v>29</v>
      </c>
      <c r="D153" s="102">
        <f t="shared" si="6"/>
        <v>31</v>
      </c>
      <c r="E153" s="82"/>
      <c r="F153" s="82"/>
      <c r="G153" s="9"/>
      <c r="H153" s="9">
        <f>46-15</f>
        <v>31</v>
      </c>
      <c r="I153" s="9"/>
      <c r="J153" s="9"/>
      <c r="K153" s="24" t="s">
        <v>16</v>
      </c>
      <c r="L153" s="24" t="s">
        <v>16</v>
      </c>
      <c r="M153" s="7" t="s">
        <v>16</v>
      </c>
    </row>
    <row r="154" spans="1:13" ht="79.5" thickBot="1">
      <c r="A154" s="25" t="s">
        <v>83</v>
      </c>
      <c r="B154" s="101" t="s">
        <v>55</v>
      </c>
      <c r="C154" s="94" t="s">
        <v>29</v>
      </c>
      <c r="D154" s="102">
        <f t="shared" si="6"/>
        <v>31</v>
      </c>
      <c r="E154" s="82"/>
      <c r="F154" s="82"/>
      <c r="G154" s="9"/>
      <c r="H154" s="9">
        <f>46-15</f>
        <v>31</v>
      </c>
      <c r="I154" s="9"/>
      <c r="J154" s="9"/>
      <c r="K154" s="24" t="s">
        <v>16</v>
      </c>
      <c r="L154" s="24" t="s">
        <v>16</v>
      </c>
      <c r="M154" s="7" t="s">
        <v>16</v>
      </c>
    </row>
    <row r="155" spans="1:13" ht="142.5" thickBot="1">
      <c r="A155" s="25" t="s">
        <v>84</v>
      </c>
      <c r="B155" s="101" t="s">
        <v>426</v>
      </c>
      <c r="C155" s="94" t="s">
        <v>34</v>
      </c>
      <c r="D155" s="103">
        <f t="shared" si="6"/>
        <v>151135.15799999997</v>
      </c>
      <c r="E155" s="85"/>
      <c r="F155" s="85">
        <v>7446.8</v>
      </c>
      <c r="G155" s="19"/>
      <c r="H155" s="19">
        <f>15930.5+20.4+90949.25+20506.4+610.91+7872.512+32.57+2274.1144+1495.5016</f>
        <v>139692.15799999997</v>
      </c>
      <c r="I155" s="19">
        <f>3395.5+387.2+213.5</f>
        <v>3996.2</v>
      </c>
      <c r="J155" s="9"/>
      <c r="K155" s="26" t="s">
        <v>16</v>
      </c>
      <c r="L155" s="26" t="s">
        <v>16</v>
      </c>
      <c r="M155" s="7" t="s">
        <v>16</v>
      </c>
    </row>
    <row r="156" spans="1:13" ht="48" thickBot="1">
      <c r="A156" s="25" t="s">
        <v>85</v>
      </c>
      <c r="B156" s="101" t="s">
        <v>425</v>
      </c>
      <c r="C156" s="94" t="s">
        <v>34</v>
      </c>
      <c r="D156" s="103">
        <f t="shared" si="6"/>
        <v>148821.76639999996</v>
      </c>
      <c r="E156" s="85"/>
      <c r="F156" s="85">
        <v>7446.8</v>
      </c>
      <c r="G156" s="19"/>
      <c r="H156" s="19">
        <f>15930.5+20.4+90949.25+20506.4+610.91+7872.512+32.57+2274.1144-817.89</f>
        <v>137378.76639999996</v>
      </c>
      <c r="I156" s="19">
        <f>3395.5+387.2+213.5</f>
        <v>3996.2</v>
      </c>
      <c r="J156" s="9"/>
      <c r="K156" s="26" t="s">
        <v>16</v>
      </c>
      <c r="L156" s="26" t="s">
        <v>16</v>
      </c>
      <c r="M156" s="7" t="s">
        <v>16</v>
      </c>
    </row>
    <row r="157" spans="1:13" ht="126.75" thickBot="1">
      <c r="A157" s="25" t="s">
        <v>130</v>
      </c>
      <c r="B157" s="101" t="s">
        <v>97</v>
      </c>
      <c r="C157" s="94" t="s">
        <v>34</v>
      </c>
      <c r="D157" s="103">
        <f t="shared" si="6"/>
        <v>42383.262999999999</v>
      </c>
      <c r="E157" s="85"/>
      <c r="F157" s="85"/>
      <c r="G157" s="19"/>
      <c r="H157" s="19">
        <f>7632.1+35398.65+2348.5+699.513-6400.79</f>
        <v>39677.972999999998</v>
      </c>
      <c r="I157" s="19">
        <f>2448.1+43.4+213.79</f>
        <v>2705.29</v>
      </c>
      <c r="J157" s="9"/>
      <c r="K157" s="26" t="s">
        <v>16</v>
      </c>
      <c r="L157" s="26" t="s">
        <v>16</v>
      </c>
      <c r="M157" s="7" t="s">
        <v>16</v>
      </c>
    </row>
    <row r="158" spans="1:13" ht="48" thickBot="1">
      <c r="A158" s="25" t="s">
        <v>131</v>
      </c>
      <c r="B158" s="101" t="s">
        <v>425</v>
      </c>
      <c r="C158" s="94" t="s">
        <v>34</v>
      </c>
      <c r="D158" s="103">
        <f t="shared" si="6"/>
        <v>42383.262999999999</v>
      </c>
      <c r="E158" s="85"/>
      <c r="F158" s="85"/>
      <c r="G158" s="19"/>
      <c r="H158" s="19">
        <f>7632.1+35398.65+2348.5+699.513-6400.79</f>
        <v>39677.972999999998</v>
      </c>
      <c r="I158" s="19">
        <f>2448.1+43.4+213.79</f>
        <v>2705.29</v>
      </c>
      <c r="J158" s="9"/>
      <c r="K158" s="26" t="s">
        <v>16</v>
      </c>
      <c r="L158" s="26" t="s">
        <v>16</v>
      </c>
      <c r="M158" s="7" t="s">
        <v>16</v>
      </c>
    </row>
    <row r="159" spans="1:13" ht="174" thickBot="1">
      <c r="A159" s="25" t="s">
        <v>132</v>
      </c>
      <c r="B159" s="101" t="s">
        <v>121</v>
      </c>
      <c r="C159" s="94" t="s">
        <v>34</v>
      </c>
      <c r="D159" s="102">
        <f t="shared" si="6"/>
        <v>52052.52</v>
      </c>
      <c r="E159" s="82"/>
      <c r="F159" s="82"/>
      <c r="G159" s="9"/>
      <c r="H159" s="23">
        <f>52052.52</f>
        <v>52052.52</v>
      </c>
      <c r="I159" s="9"/>
      <c r="J159" s="9"/>
      <c r="K159" s="26" t="s">
        <v>16</v>
      </c>
      <c r="L159" s="26" t="s">
        <v>16</v>
      </c>
      <c r="M159" s="7" t="s">
        <v>16</v>
      </c>
    </row>
    <row r="160" spans="1:13" ht="48" thickBot="1">
      <c r="A160" s="25" t="s">
        <v>133</v>
      </c>
      <c r="B160" s="101" t="s">
        <v>425</v>
      </c>
      <c r="C160" s="94" t="s">
        <v>34</v>
      </c>
      <c r="D160" s="102">
        <f t="shared" si="6"/>
        <v>52052.52</v>
      </c>
      <c r="E160" s="82"/>
      <c r="F160" s="82"/>
      <c r="G160" s="9"/>
      <c r="H160" s="23">
        <v>52052.52</v>
      </c>
      <c r="I160" s="9"/>
      <c r="J160" s="9"/>
      <c r="K160" s="26" t="s">
        <v>16</v>
      </c>
      <c r="L160" s="26" t="s">
        <v>16</v>
      </c>
      <c r="M160" s="7" t="s">
        <v>16</v>
      </c>
    </row>
    <row r="161" spans="1:13" ht="15.75" customHeight="1" thickBot="1">
      <c r="A161" s="182" t="s">
        <v>114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3"/>
    </row>
    <row r="162" spans="1:13" ht="84" customHeight="1" thickBot="1">
      <c r="A162" s="1">
        <v>26</v>
      </c>
      <c r="B162" s="104" t="s">
        <v>117</v>
      </c>
      <c r="C162" s="77" t="s">
        <v>29</v>
      </c>
      <c r="D162" s="93">
        <f t="shared" ref="D162:D170" si="7">E162+F162+G162+H162+I162+J162</f>
        <v>1</v>
      </c>
      <c r="E162" s="82"/>
      <c r="F162" s="82"/>
      <c r="G162" s="9"/>
      <c r="H162" s="9">
        <v>1</v>
      </c>
      <c r="I162" s="9"/>
      <c r="J162" s="9"/>
      <c r="K162" s="7" t="s">
        <v>16</v>
      </c>
      <c r="L162" s="7" t="s">
        <v>16</v>
      </c>
      <c r="M162" s="26" t="s">
        <v>16</v>
      </c>
    </row>
    <row r="163" spans="1:13" ht="81.75" customHeight="1" thickBot="1">
      <c r="A163" s="3">
        <v>27</v>
      </c>
      <c r="B163" s="101" t="s">
        <v>427</v>
      </c>
      <c r="C163" s="94" t="s">
        <v>34</v>
      </c>
      <c r="D163" s="95">
        <f t="shared" si="7"/>
        <v>443.6</v>
      </c>
      <c r="E163" s="82"/>
      <c r="F163" s="82"/>
      <c r="G163" s="9"/>
      <c r="H163" s="9">
        <v>443.6</v>
      </c>
      <c r="I163" s="9"/>
      <c r="J163" s="9"/>
      <c r="K163" s="26" t="s">
        <v>16</v>
      </c>
      <c r="L163" s="26" t="s">
        <v>16</v>
      </c>
      <c r="M163" s="26" t="s">
        <v>16</v>
      </c>
    </row>
    <row r="164" spans="1:13" ht="95.25" thickBot="1">
      <c r="A164" s="3">
        <v>28</v>
      </c>
      <c r="B164" s="101" t="s">
        <v>115</v>
      </c>
      <c r="C164" s="94" t="s">
        <v>34</v>
      </c>
      <c r="D164" s="95">
        <f t="shared" si="7"/>
        <v>0</v>
      </c>
      <c r="E164" s="82"/>
      <c r="F164" s="82"/>
      <c r="G164" s="9"/>
      <c r="H164" s="9"/>
      <c r="I164" s="9"/>
      <c r="J164" s="9"/>
      <c r="K164" s="26" t="s">
        <v>16</v>
      </c>
      <c r="L164" s="26" t="s">
        <v>16</v>
      </c>
      <c r="M164" s="26" t="s">
        <v>16</v>
      </c>
    </row>
    <row r="165" spans="1:13" ht="83.25" customHeight="1" thickBot="1">
      <c r="A165" s="3">
        <v>29</v>
      </c>
      <c r="B165" s="101" t="s">
        <v>118</v>
      </c>
      <c r="C165" s="94" t="s">
        <v>29</v>
      </c>
      <c r="D165" s="95">
        <f t="shared" si="7"/>
        <v>0</v>
      </c>
      <c r="E165" s="82"/>
      <c r="F165" s="82"/>
      <c r="G165" s="9"/>
      <c r="H165" s="9"/>
      <c r="I165" s="9"/>
      <c r="J165" s="9"/>
      <c r="K165" s="26" t="s">
        <v>16</v>
      </c>
      <c r="L165" s="26" t="s">
        <v>16</v>
      </c>
      <c r="M165" s="26" t="s">
        <v>16</v>
      </c>
    </row>
    <row r="166" spans="1:13" ht="142.5" thickBot="1">
      <c r="A166" s="3">
        <v>30</v>
      </c>
      <c r="B166" s="101" t="s">
        <v>428</v>
      </c>
      <c r="C166" s="94" t="s">
        <v>34</v>
      </c>
      <c r="D166" s="95">
        <f t="shared" si="7"/>
        <v>0</v>
      </c>
      <c r="E166" s="82"/>
      <c r="F166" s="82"/>
      <c r="G166" s="9"/>
      <c r="H166" s="9"/>
      <c r="I166" s="9"/>
      <c r="J166" s="9"/>
      <c r="K166" s="26" t="s">
        <v>16</v>
      </c>
      <c r="L166" s="26" t="s">
        <v>16</v>
      </c>
      <c r="M166" s="26" t="s">
        <v>16</v>
      </c>
    </row>
    <row r="167" spans="1:13" ht="111" thickBot="1">
      <c r="A167" s="3">
        <v>31</v>
      </c>
      <c r="B167" s="101" t="s">
        <v>116</v>
      </c>
      <c r="C167" s="94" t="s">
        <v>34</v>
      </c>
      <c r="D167" s="95">
        <f t="shared" si="7"/>
        <v>0</v>
      </c>
      <c r="E167" s="82"/>
      <c r="F167" s="82"/>
      <c r="G167" s="9"/>
      <c r="H167" s="9"/>
      <c r="I167" s="9"/>
      <c r="J167" s="9"/>
      <c r="K167" s="26" t="s">
        <v>16</v>
      </c>
      <c r="L167" s="26" t="s">
        <v>16</v>
      </c>
      <c r="M167" s="26" t="s">
        <v>16</v>
      </c>
    </row>
    <row r="168" spans="1:13" ht="80.25" customHeight="1" thickBot="1">
      <c r="A168" s="3">
        <v>32</v>
      </c>
      <c r="B168" s="101" t="s">
        <v>119</v>
      </c>
      <c r="C168" s="94" t="s">
        <v>29</v>
      </c>
      <c r="D168" s="95">
        <f t="shared" si="7"/>
        <v>6</v>
      </c>
      <c r="E168" s="82"/>
      <c r="F168" s="82"/>
      <c r="G168" s="9"/>
      <c r="H168" s="9">
        <f>1+2+1</f>
        <v>4</v>
      </c>
      <c r="I168" s="9">
        <f>1+1</f>
        <v>2</v>
      </c>
      <c r="J168" s="9"/>
      <c r="K168" s="26" t="s">
        <v>16</v>
      </c>
      <c r="L168" s="26" t="s">
        <v>16</v>
      </c>
      <c r="M168" s="26" t="s">
        <v>16</v>
      </c>
    </row>
    <row r="169" spans="1:13" ht="126.75" thickBot="1">
      <c r="A169" s="3">
        <v>33</v>
      </c>
      <c r="B169" s="101" t="s">
        <v>429</v>
      </c>
      <c r="C169" s="94" t="s">
        <v>34</v>
      </c>
      <c r="D169" s="105">
        <f t="shared" si="7"/>
        <v>9416.2709999999988</v>
      </c>
      <c r="E169" s="85"/>
      <c r="F169" s="85"/>
      <c r="G169" s="19"/>
      <c r="H169" s="19">
        <f>1659.2+58.8+7155.12</f>
        <v>8873.119999999999</v>
      </c>
      <c r="I169" s="19">
        <f>470.4+72.751</f>
        <v>543.15099999999995</v>
      </c>
      <c r="J169" s="9"/>
      <c r="K169" s="26" t="s">
        <v>16</v>
      </c>
      <c r="L169" s="26" t="s">
        <v>16</v>
      </c>
      <c r="M169" s="26" t="s">
        <v>16</v>
      </c>
    </row>
    <row r="170" spans="1:13" ht="100.5" customHeight="1" thickBot="1">
      <c r="A170" s="3">
        <v>34</v>
      </c>
      <c r="B170" s="101" t="s">
        <v>430</v>
      </c>
      <c r="C170" s="94" t="s">
        <v>34</v>
      </c>
      <c r="D170" s="105">
        <f t="shared" si="7"/>
        <v>5372.5860000000002</v>
      </c>
      <c r="E170" s="85"/>
      <c r="F170" s="85"/>
      <c r="G170" s="19"/>
      <c r="H170" s="19">
        <f>1196.4+55+3613.335</f>
        <v>4864.7350000000006</v>
      </c>
      <c r="I170" s="19">
        <f>435.1+72.751</f>
        <v>507.851</v>
      </c>
      <c r="J170" s="9"/>
      <c r="K170" s="26" t="s">
        <v>16</v>
      </c>
      <c r="L170" s="26" t="s">
        <v>16</v>
      </c>
      <c r="M170" s="26" t="s">
        <v>16</v>
      </c>
    </row>
    <row r="172" spans="1:13" ht="42" customHeight="1">
      <c r="C172" s="126" t="s">
        <v>382</v>
      </c>
      <c r="D172" s="136"/>
      <c r="E172" s="136"/>
      <c r="F172" s="136"/>
      <c r="G172" s="136"/>
      <c r="H172" s="136"/>
      <c r="I172" s="136"/>
      <c r="J172" s="136"/>
      <c r="K172" s="136"/>
    </row>
    <row r="173" spans="1:13">
      <c r="C173" s="157"/>
      <c r="D173" s="158"/>
      <c r="E173" s="158"/>
      <c r="F173" s="158"/>
      <c r="G173" s="158"/>
      <c r="H173" s="158"/>
      <c r="I173" s="158"/>
      <c r="J173" s="158"/>
      <c r="K173" s="158"/>
    </row>
    <row r="174" spans="1:13">
      <c r="A174" s="154" t="s">
        <v>0</v>
      </c>
      <c r="B174" s="131" t="s">
        <v>1</v>
      </c>
      <c r="C174" s="131" t="s">
        <v>2</v>
      </c>
      <c r="D174" s="131" t="s">
        <v>3</v>
      </c>
      <c r="E174" s="154" t="s">
        <v>4</v>
      </c>
      <c r="F174" s="154"/>
      <c r="G174" s="154"/>
      <c r="H174" s="154"/>
      <c r="I174" s="154"/>
      <c r="J174" s="154"/>
      <c r="K174" s="154"/>
      <c r="L174" s="154"/>
    </row>
    <row r="175" spans="1:13">
      <c r="A175" s="154"/>
      <c r="B175" s="131"/>
      <c r="C175" s="131"/>
      <c r="D175" s="131"/>
      <c r="E175" s="154" t="s">
        <v>5</v>
      </c>
      <c r="F175" s="154"/>
      <c r="G175" s="154"/>
      <c r="H175" s="154"/>
      <c r="I175" s="154"/>
      <c r="J175" s="154"/>
      <c r="K175" s="154" t="s">
        <v>6</v>
      </c>
      <c r="L175" s="154"/>
    </row>
    <row r="176" spans="1:13" ht="18.75" customHeight="1">
      <c r="A176" s="154"/>
      <c r="B176" s="131"/>
      <c r="C176" s="131"/>
      <c r="D176" s="131"/>
      <c r="E176" s="154" t="s">
        <v>7</v>
      </c>
      <c r="F176" s="154"/>
      <c r="G176" s="154"/>
      <c r="H176" s="155" t="s">
        <v>8</v>
      </c>
      <c r="I176" s="155" t="s">
        <v>9</v>
      </c>
      <c r="J176" s="154" t="s">
        <v>10</v>
      </c>
      <c r="K176" s="154"/>
      <c r="L176" s="154"/>
    </row>
    <row r="177" spans="1:12" ht="84">
      <c r="A177" s="154"/>
      <c r="B177" s="131"/>
      <c r="C177" s="131"/>
      <c r="D177" s="131"/>
      <c r="E177" s="46" t="s">
        <v>11</v>
      </c>
      <c r="F177" s="46" t="s">
        <v>12</v>
      </c>
      <c r="G177" s="27" t="s">
        <v>111</v>
      </c>
      <c r="H177" s="156"/>
      <c r="I177" s="156"/>
      <c r="J177" s="154"/>
      <c r="K177" s="27" t="s">
        <v>14</v>
      </c>
      <c r="L177" s="27" t="s">
        <v>15</v>
      </c>
    </row>
    <row r="178" spans="1:12" ht="19.5" thickBot="1">
      <c r="A178" s="27">
        <v>1</v>
      </c>
      <c r="B178" s="46">
        <v>2</v>
      </c>
      <c r="C178" s="46">
        <v>3</v>
      </c>
      <c r="D178" s="46">
        <v>4</v>
      </c>
      <c r="E178" s="46">
        <v>5</v>
      </c>
      <c r="F178" s="46">
        <v>6</v>
      </c>
      <c r="G178" s="27">
        <v>7</v>
      </c>
      <c r="H178" s="27">
        <v>8</v>
      </c>
      <c r="I178" s="27">
        <v>9</v>
      </c>
      <c r="J178" s="27">
        <v>10</v>
      </c>
      <c r="K178" s="27">
        <v>11</v>
      </c>
      <c r="L178" s="27">
        <v>12</v>
      </c>
    </row>
    <row r="179" spans="1:12" ht="126.75" thickBot="1">
      <c r="A179" s="27">
        <v>1</v>
      </c>
      <c r="B179" s="106" t="s">
        <v>185</v>
      </c>
      <c r="C179" s="46" t="s">
        <v>29</v>
      </c>
      <c r="D179" s="107">
        <f>E179+F179+G179+H179+I179+J179</f>
        <v>34</v>
      </c>
      <c r="E179" s="46"/>
      <c r="F179" s="46"/>
      <c r="G179" s="27"/>
      <c r="H179" s="27">
        <f>30+1</f>
        <v>31</v>
      </c>
      <c r="I179" s="27">
        <f>3</f>
        <v>3</v>
      </c>
      <c r="J179" s="27"/>
      <c r="K179" s="27" t="s">
        <v>16</v>
      </c>
      <c r="L179" s="27" t="s">
        <v>16</v>
      </c>
    </row>
    <row r="180" spans="1:12" ht="237" thickBot="1">
      <c r="A180" s="27" t="s">
        <v>186</v>
      </c>
      <c r="B180" s="108" t="s">
        <v>187</v>
      </c>
      <c r="C180" s="46" t="s">
        <v>29</v>
      </c>
      <c r="D180" s="107">
        <f>E180+F180+G180+H180+J180</f>
        <v>1</v>
      </c>
      <c r="E180" s="46"/>
      <c r="F180" s="46"/>
      <c r="G180" s="27"/>
      <c r="H180" s="27">
        <f>1</f>
        <v>1</v>
      </c>
      <c r="I180" s="27" t="s">
        <v>16</v>
      </c>
      <c r="J180" s="27"/>
      <c r="K180" s="27" t="s">
        <v>16</v>
      </c>
      <c r="L180" s="27" t="s">
        <v>16</v>
      </c>
    </row>
    <row r="181" spans="1:12" ht="126.75" thickBot="1">
      <c r="A181" s="29">
        <v>2</v>
      </c>
      <c r="B181" s="108" t="s">
        <v>188</v>
      </c>
      <c r="C181" s="46" t="s">
        <v>29</v>
      </c>
      <c r="D181" s="107">
        <f>E181+F181+G181+H181+I181+J181</f>
        <v>5</v>
      </c>
      <c r="E181" s="46"/>
      <c r="F181" s="46"/>
      <c r="G181" s="27"/>
      <c r="H181" s="27">
        <f>1+1</f>
        <v>2</v>
      </c>
      <c r="I181" s="27">
        <v>3</v>
      </c>
      <c r="J181" s="27"/>
      <c r="K181" s="27" t="s">
        <v>16</v>
      </c>
      <c r="L181" s="27" t="s">
        <v>16</v>
      </c>
    </row>
    <row r="182" spans="1:12" ht="237" thickBot="1">
      <c r="A182" s="30" t="s">
        <v>32</v>
      </c>
      <c r="B182" s="108" t="s">
        <v>189</v>
      </c>
      <c r="C182" s="46" t="s">
        <v>29</v>
      </c>
      <c r="D182" s="107">
        <f>E182+F182+G182+H182+J182</f>
        <v>1</v>
      </c>
      <c r="E182" s="46"/>
      <c r="F182" s="46"/>
      <c r="G182" s="27"/>
      <c r="H182" s="27">
        <v>1</v>
      </c>
      <c r="I182" s="27" t="s">
        <v>16</v>
      </c>
      <c r="J182" s="27"/>
      <c r="K182" s="27" t="s">
        <v>16</v>
      </c>
      <c r="L182" s="27" t="s">
        <v>16</v>
      </c>
    </row>
    <row r="183" spans="1:12" ht="142.5" thickBot="1">
      <c r="A183" s="31" t="s">
        <v>50</v>
      </c>
      <c r="B183" s="81" t="s">
        <v>190</v>
      </c>
      <c r="C183" s="46" t="s">
        <v>34</v>
      </c>
      <c r="D183" s="109">
        <f>E183+F183+G183+H183+I183+J183+K183+L183</f>
        <v>171674</v>
      </c>
      <c r="E183" s="48"/>
      <c r="F183" s="48"/>
      <c r="G183" s="33"/>
      <c r="H183" s="33">
        <f>152440.7+4090.4</f>
        <v>156531.1</v>
      </c>
      <c r="I183" s="33">
        <v>700.9</v>
      </c>
      <c r="J183" s="33"/>
      <c r="K183" s="33">
        <v>595.1</v>
      </c>
      <c r="L183" s="33">
        <f>1898.9+11948</f>
        <v>13846.9</v>
      </c>
    </row>
    <row r="184" spans="1:12" ht="126.75" thickBot="1">
      <c r="A184" s="34" t="s">
        <v>35</v>
      </c>
      <c r="B184" s="81" t="s">
        <v>191</v>
      </c>
      <c r="C184" s="46" t="s">
        <v>34</v>
      </c>
      <c r="D184" s="109">
        <f>E184+F184+G184+H184+J184</f>
        <v>4090.4</v>
      </c>
      <c r="E184" s="48"/>
      <c r="F184" s="48"/>
      <c r="G184" s="33"/>
      <c r="H184" s="33">
        <v>4090.4</v>
      </c>
      <c r="I184" s="33" t="s">
        <v>16</v>
      </c>
      <c r="J184" s="33"/>
      <c r="K184" s="33" t="s">
        <v>16</v>
      </c>
      <c r="L184" s="33" t="s">
        <v>16</v>
      </c>
    </row>
    <row r="185" spans="1:12" ht="63.75" thickBot="1">
      <c r="A185" s="31" t="s">
        <v>36</v>
      </c>
      <c r="B185" s="81" t="s">
        <v>192</v>
      </c>
      <c r="C185" s="46" t="s">
        <v>34</v>
      </c>
      <c r="D185" s="109">
        <f>E185+F185+G185+H185+I185+J185+K185+L185</f>
        <v>26539.300000000003</v>
      </c>
      <c r="E185" s="48"/>
      <c r="F185" s="48"/>
      <c r="G185" s="33"/>
      <c r="H185" s="33">
        <f>16387.4+1503.8</f>
        <v>17891.2</v>
      </c>
      <c r="I185" s="33">
        <v>583.4</v>
      </c>
      <c r="J185" s="33"/>
      <c r="K185" s="33">
        <v>28</v>
      </c>
      <c r="L185" s="33">
        <f>1898.9+6137.8</f>
        <v>8036.7000000000007</v>
      </c>
    </row>
    <row r="186" spans="1:12" ht="158.25" thickBot="1">
      <c r="A186" s="31" t="s">
        <v>51</v>
      </c>
      <c r="B186" s="81" t="s">
        <v>193</v>
      </c>
      <c r="C186" s="46" t="s">
        <v>34</v>
      </c>
      <c r="D186" s="109">
        <f>E186+F186+G186+H186+I186+J186+K186+L186</f>
        <v>36991.300000000003</v>
      </c>
      <c r="E186" s="48"/>
      <c r="F186" s="48"/>
      <c r="G186" s="33"/>
      <c r="H186" s="33">
        <f>24074.7+4090.4</f>
        <v>28165.100000000002</v>
      </c>
      <c r="I186" s="33">
        <v>700.9</v>
      </c>
      <c r="J186" s="33"/>
      <c r="K186" s="33">
        <v>595.1</v>
      </c>
      <c r="L186" s="33">
        <f>1898.9+5631.3</f>
        <v>7530.2000000000007</v>
      </c>
    </row>
    <row r="187" spans="1:12" ht="158.25" thickBot="1">
      <c r="A187" s="31" t="s">
        <v>37</v>
      </c>
      <c r="B187" s="81" t="s">
        <v>194</v>
      </c>
      <c r="C187" s="46" t="s">
        <v>34</v>
      </c>
      <c r="D187" s="109">
        <f>E187+F187+G187+H187+J187</f>
        <v>4090.4</v>
      </c>
      <c r="E187" s="48"/>
      <c r="F187" s="48"/>
      <c r="G187" s="33"/>
      <c r="H187" s="33">
        <v>4090.4</v>
      </c>
      <c r="I187" s="33" t="s">
        <v>16</v>
      </c>
      <c r="J187" s="33"/>
      <c r="K187" s="33" t="s">
        <v>16</v>
      </c>
      <c r="L187" s="33" t="s">
        <v>16</v>
      </c>
    </row>
    <row r="188" spans="1:12" ht="95.25" thickBot="1">
      <c r="A188" s="31" t="s">
        <v>52</v>
      </c>
      <c r="B188" s="81" t="s">
        <v>195</v>
      </c>
      <c r="C188" s="46" t="s">
        <v>29</v>
      </c>
      <c r="D188" s="107">
        <f>E188+F188+G188+H188+I188+J188+K188+L188</f>
        <v>206</v>
      </c>
      <c r="E188" s="46"/>
      <c r="F188" s="46"/>
      <c r="G188" s="27"/>
      <c r="H188" s="27">
        <f>1+44+31</f>
        <v>76</v>
      </c>
      <c r="I188" s="27">
        <v>7</v>
      </c>
      <c r="J188" s="27"/>
      <c r="K188" s="28">
        <v>1</v>
      </c>
      <c r="L188" s="28">
        <f>31+91</f>
        <v>122</v>
      </c>
    </row>
    <row r="189" spans="1:12" ht="189.75" thickBot="1">
      <c r="A189" s="31" t="s">
        <v>56</v>
      </c>
      <c r="B189" s="81" t="s">
        <v>196</v>
      </c>
      <c r="C189" s="46" t="s">
        <v>29</v>
      </c>
      <c r="D189" s="107">
        <f>E189+F189+G189+H189+J189</f>
        <v>10</v>
      </c>
      <c r="E189" s="46"/>
      <c r="F189" s="46"/>
      <c r="G189" s="27"/>
      <c r="H189" s="27">
        <v>10</v>
      </c>
      <c r="I189" s="27" t="s">
        <v>16</v>
      </c>
      <c r="J189" s="27"/>
      <c r="K189" s="27" t="s">
        <v>16</v>
      </c>
      <c r="L189" s="27" t="s">
        <v>16</v>
      </c>
    </row>
    <row r="190" spans="1:12" ht="111" thickBot="1">
      <c r="A190" s="31" t="s">
        <v>58</v>
      </c>
      <c r="B190" s="81" t="s">
        <v>197</v>
      </c>
      <c r="C190" s="46" t="s">
        <v>29</v>
      </c>
      <c r="D190" s="107">
        <f>E190+F190+G190+H190+I190+J190</f>
        <v>4</v>
      </c>
      <c r="E190" s="46"/>
      <c r="F190" s="46"/>
      <c r="G190" s="27"/>
      <c r="H190" s="27">
        <f>1+3</f>
        <v>4</v>
      </c>
      <c r="I190" s="27"/>
      <c r="J190" s="27"/>
      <c r="K190" s="27" t="s">
        <v>16</v>
      </c>
      <c r="L190" s="27" t="s">
        <v>16</v>
      </c>
    </row>
    <row r="191" spans="1:12" ht="189.75" thickBot="1">
      <c r="A191" s="31" t="s">
        <v>59</v>
      </c>
      <c r="B191" s="81" t="s">
        <v>198</v>
      </c>
      <c r="C191" s="46" t="s">
        <v>29</v>
      </c>
      <c r="D191" s="107">
        <f>E191+F191+G191+H191+J191</f>
        <v>0</v>
      </c>
      <c r="E191" s="46"/>
      <c r="F191" s="46"/>
      <c r="G191" s="27"/>
      <c r="H191" s="27"/>
      <c r="I191" s="27" t="s">
        <v>16</v>
      </c>
      <c r="J191" s="27"/>
      <c r="K191" s="27" t="s">
        <v>16</v>
      </c>
      <c r="L191" s="27" t="s">
        <v>16</v>
      </c>
    </row>
    <row r="192" spans="1:12" ht="95.25" thickBot="1">
      <c r="A192" s="31" t="s">
        <v>139</v>
      </c>
      <c r="B192" s="78" t="s">
        <v>199</v>
      </c>
      <c r="C192" s="46" t="s">
        <v>29</v>
      </c>
      <c r="D192" s="107">
        <f>E192+F192+G192+H192+I192+J192+K192+L192</f>
        <v>198</v>
      </c>
      <c r="E192" s="46"/>
      <c r="F192" s="46">
        <v>3</v>
      </c>
      <c r="G192" s="27"/>
      <c r="H192" s="27">
        <f>1+34+30</f>
        <v>65</v>
      </c>
      <c r="I192" s="27">
        <v>7</v>
      </c>
      <c r="J192" s="27"/>
      <c r="K192" s="28">
        <v>1</v>
      </c>
      <c r="L192" s="28">
        <f>31+91</f>
        <v>122</v>
      </c>
    </row>
    <row r="193" spans="1:12" ht="189.75" thickBot="1">
      <c r="A193" s="31" t="s">
        <v>62</v>
      </c>
      <c r="B193" s="81" t="s">
        <v>200</v>
      </c>
      <c r="C193" s="46" t="s">
        <v>29</v>
      </c>
      <c r="D193" s="107">
        <f>E193+F193+G193+H193+J193</f>
        <v>10</v>
      </c>
      <c r="E193" s="46"/>
      <c r="F193" s="46"/>
      <c r="G193" s="27"/>
      <c r="H193" s="27">
        <v>10</v>
      </c>
      <c r="I193" s="27" t="s">
        <v>16</v>
      </c>
      <c r="J193" s="27"/>
      <c r="K193" s="27" t="s">
        <v>16</v>
      </c>
      <c r="L193" s="27" t="s">
        <v>16</v>
      </c>
    </row>
    <row r="194" spans="1:12" ht="32.25" thickBot="1">
      <c r="A194" s="31" t="s">
        <v>201</v>
      </c>
      <c r="B194" s="81" t="s">
        <v>202</v>
      </c>
      <c r="C194" s="46" t="s">
        <v>29</v>
      </c>
      <c r="D194" s="107">
        <f>E194+F194+G194+H194+I194+J194</f>
        <v>42</v>
      </c>
      <c r="E194" s="46"/>
      <c r="F194" s="46">
        <v>1</v>
      </c>
      <c r="G194" s="27"/>
      <c r="H194" s="27">
        <f>11+23</f>
        <v>34</v>
      </c>
      <c r="I194" s="27">
        <v>7</v>
      </c>
      <c r="J194" s="27"/>
      <c r="K194" s="27" t="s">
        <v>16</v>
      </c>
      <c r="L194" s="27" t="s">
        <v>16</v>
      </c>
    </row>
    <row r="195" spans="1:12" ht="63.75" thickBot="1">
      <c r="A195" s="31" t="s">
        <v>203</v>
      </c>
      <c r="B195" s="81" t="s">
        <v>204</v>
      </c>
      <c r="C195" s="46" t="s">
        <v>29</v>
      </c>
      <c r="D195" s="107">
        <f>E195+F195+G195+H195+I195+J195</f>
        <v>6</v>
      </c>
      <c r="E195" s="46"/>
      <c r="F195" s="46">
        <v>1</v>
      </c>
      <c r="G195" s="27"/>
      <c r="H195" s="27">
        <f>1+4</f>
        <v>5</v>
      </c>
      <c r="I195" s="27"/>
      <c r="J195" s="27"/>
      <c r="K195" s="27" t="s">
        <v>16</v>
      </c>
      <c r="L195" s="27" t="s">
        <v>16</v>
      </c>
    </row>
    <row r="196" spans="1:12" ht="126.75" thickBot="1">
      <c r="A196" s="31" t="s">
        <v>140</v>
      </c>
      <c r="B196" s="81" t="s">
        <v>205</v>
      </c>
      <c r="C196" s="46" t="s">
        <v>34</v>
      </c>
      <c r="D196" s="109">
        <f>E196+F196+G196+H196+I196+J196+K196+L196</f>
        <v>603459.80000000005</v>
      </c>
      <c r="E196" s="48"/>
      <c r="F196" s="48"/>
      <c r="G196" s="33"/>
      <c r="H196" s="33">
        <f>3900+179029.3+392501.8</f>
        <v>575431.1</v>
      </c>
      <c r="I196" s="33">
        <v>1900</v>
      </c>
      <c r="J196" s="33"/>
      <c r="K196" s="32">
        <v>630.79999999999995</v>
      </c>
      <c r="L196" s="32">
        <f>941.7+24556.2</f>
        <v>25497.9</v>
      </c>
    </row>
    <row r="197" spans="1:12" ht="184.5" customHeight="1" thickBot="1">
      <c r="A197" s="31" t="s">
        <v>63</v>
      </c>
      <c r="B197" s="81" t="s">
        <v>206</v>
      </c>
      <c r="C197" s="46" t="s">
        <v>34</v>
      </c>
      <c r="D197" s="109">
        <f>E197+F197+G197+H197+J197</f>
        <v>39217.300000000003</v>
      </c>
      <c r="E197" s="48"/>
      <c r="F197" s="48"/>
      <c r="G197" s="33"/>
      <c r="H197" s="33">
        <v>39217.300000000003</v>
      </c>
      <c r="I197" s="33" t="s">
        <v>16</v>
      </c>
      <c r="J197" s="33"/>
      <c r="K197" s="33" t="s">
        <v>16</v>
      </c>
      <c r="L197" s="33" t="s">
        <v>16</v>
      </c>
    </row>
    <row r="198" spans="1:12" ht="142.5" thickBot="1">
      <c r="A198" s="31" t="s">
        <v>64</v>
      </c>
      <c r="B198" s="81" t="s">
        <v>207</v>
      </c>
      <c r="C198" s="46" t="s">
        <v>34</v>
      </c>
      <c r="D198" s="109">
        <f>E198+F198+G198+H198+I198+J198</f>
        <v>58723.76</v>
      </c>
      <c r="E198" s="48"/>
      <c r="F198" s="48"/>
      <c r="G198" s="33"/>
      <c r="H198" s="33">
        <f>25747.96+32975.8</f>
        <v>58723.76</v>
      </c>
      <c r="I198" s="33"/>
      <c r="J198" s="33"/>
      <c r="K198" s="33" t="s">
        <v>16</v>
      </c>
      <c r="L198" s="33" t="s">
        <v>16</v>
      </c>
    </row>
    <row r="199" spans="1:12" ht="174" thickBot="1">
      <c r="A199" s="31" t="s">
        <v>65</v>
      </c>
      <c r="B199" s="81" t="s">
        <v>208</v>
      </c>
      <c r="C199" s="46" t="s">
        <v>34</v>
      </c>
      <c r="D199" s="107">
        <f>E199+F199+G199+H199+J199</f>
        <v>0</v>
      </c>
      <c r="E199" s="46"/>
      <c r="F199" s="46"/>
      <c r="G199" s="27"/>
      <c r="H199" s="27"/>
      <c r="I199" s="27" t="s">
        <v>16</v>
      </c>
      <c r="J199" s="27"/>
      <c r="K199" s="27" t="s">
        <v>16</v>
      </c>
      <c r="L199" s="27" t="s">
        <v>16</v>
      </c>
    </row>
    <row r="200" spans="1:12" ht="142.5" thickBot="1">
      <c r="A200" s="31" t="s">
        <v>141</v>
      </c>
      <c r="B200" s="81" t="s">
        <v>209</v>
      </c>
      <c r="C200" s="46" t="s">
        <v>34</v>
      </c>
      <c r="D200" s="109">
        <f>E200+F200+G200+H200+I200+J200+K200+L200</f>
        <v>544248.5</v>
      </c>
      <c r="E200" s="48"/>
      <c r="F200" s="48">
        <v>12411.6</v>
      </c>
      <c r="G200" s="33"/>
      <c r="H200" s="33">
        <f>3900+136252.2+363968.4</f>
        <v>504120.60000000003</v>
      </c>
      <c r="I200" s="33">
        <v>1587.6</v>
      </c>
      <c r="J200" s="33"/>
      <c r="K200" s="32">
        <v>630.79999999999995</v>
      </c>
      <c r="L200" s="32">
        <f>941.7+24556.2</f>
        <v>25497.9</v>
      </c>
    </row>
    <row r="201" spans="1:12" ht="63.75" thickBot="1">
      <c r="A201" s="31" t="s">
        <v>66</v>
      </c>
      <c r="B201" s="81" t="s">
        <v>210</v>
      </c>
      <c r="C201" s="46" t="s">
        <v>34</v>
      </c>
      <c r="D201" s="109">
        <f>E201+F201+G201+H201+I201+J201+K201+L201</f>
        <v>278679.3</v>
      </c>
      <c r="E201" s="48"/>
      <c r="F201" s="48">
        <v>474.7</v>
      </c>
      <c r="G201" s="33"/>
      <c r="H201" s="33">
        <f>2450+22585.4+241947.5</f>
        <v>266982.90000000002</v>
      </c>
      <c r="I201" s="33">
        <v>1224.5999999999999</v>
      </c>
      <c r="J201" s="33"/>
      <c r="K201" s="32">
        <v>26</v>
      </c>
      <c r="L201" s="32">
        <f>692.4+9278.7</f>
        <v>9971.1</v>
      </c>
    </row>
    <row r="202" spans="1:12" ht="95.25" thickBot="1">
      <c r="A202" s="31" t="s">
        <v>142</v>
      </c>
      <c r="B202" s="81" t="s">
        <v>211</v>
      </c>
      <c r="C202" s="46" t="s">
        <v>34</v>
      </c>
      <c r="D202" s="109">
        <f>E202+F202+G202+H202+I202+J202</f>
        <v>407285.39999999997</v>
      </c>
      <c r="E202" s="48"/>
      <c r="F202" s="48">
        <v>3383.1</v>
      </c>
      <c r="G202" s="33"/>
      <c r="H202" s="33">
        <f>73587.3+328727.4</f>
        <v>402314.7</v>
      </c>
      <c r="I202" s="33">
        <v>1587.6</v>
      </c>
      <c r="J202" s="33"/>
      <c r="K202" s="33" t="s">
        <v>16</v>
      </c>
      <c r="L202" s="33" t="s">
        <v>16</v>
      </c>
    </row>
    <row r="203" spans="1:12" ht="111" thickBot="1">
      <c r="A203" s="31" t="s">
        <v>143</v>
      </c>
      <c r="B203" s="81" t="s">
        <v>212</v>
      </c>
      <c r="C203" s="46" t="s">
        <v>34</v>
      </c>
      <c r="D203" s="109">
        <f>E203+F203+G203+H203+I203+J203</f>
        <v>47209.9</v>
      </c>
      <c r="E203" s="48"/>
      <c r="F203" s="48">
        <v>3383.1</v>
      </c>
      <c r="G203" s="33"/>
      <c r="H203" s="33">
        <f>35374.1+8452.7</f>
        <v>43826.8</v>
      </c>
      <c r="I203" s="33"/>
      <c r="J203" s="33"/>
      <c r="K203" s="33" t="s">
        <v>16</v>
      </c>
      <c r="L203" s="33" t="s">
        <v>16</v>
      </c>
    </row>
    <row r="204" spans="1:12" ht="111" thickBot="1">
      <c r="A204" s="31" t="s">
        <v>144</v>
      </c>
      <c r="B204" s="81" t="s">
        <v>431</v>
      </c>
      <c r="C204" s="46" t="s">
        <v>29</v>
      </c>
      <c r="D204" s="107">
        <f>E204+F204+G204+H204+I204+J204+K204+L204</f>
        <v>492</v>
      </c>
      <c r="E204" s="46"/>
      <c r="F204" s="46">
        <v>38</v>
      </c>
      <c r="G204" s="27"/>
      <c r="H204" s="27">
        <f>1+297+26</f>
        <v>324</v>
      </c>
      <c r="I204" s="27">
        <v>7</v>
      </c>
      <c r="J204" s="27"/>
      <c r="K204" s="27">
        <v>1</v>
      </c>
      <c r="L204" s="27">
        <f>31+91</f>
        <v>122</v>
      </c>
    </row>
    <row r="205" spans="1:12" ht="189" customHeight="1" thickBot="1">
      <c r="A205" s="31" t="s">
        <v>69</v>
      </c>
      <c r="B205" s="110" t="s">
        <v>213</v>
      </c>
      <c r="C205" s="46" t="s">
        <v>29</v>
      </c>
      <c r="D205" s="107">
        <f>E205+F205+G205+H205+J205</f>
        <v>9</v>
      </c>
      <c r="E205" s="46"/>
      <c r="F205" s="46"/>
      <c r="G205" s="27"/>
      <c r="H205" s="27">
        <v>9</v>
      </c>
      <c r="I205" s="27" t="s">
        <v>16</v>
      </c>
      <c r="J205" s="27"/>
      <c r="K205" s="27" t="s">
        <v>16</v>
      </c>
      <c r="L205" s="27" t="s">
        <v>16</v>
      </c>
    </row>
    <row r="206" spans="1:12" ht="123" customHeight="1">
      <c r="A206" s="31" t="s">
        <v>71</v>
      </c>
      <c r="B206" s="111" t="s">
        <v>214</v>
      </c>
      <c r="C206" s="46" t="s">
        <v>34</v>
      </c>
      <c r="D206" s="109">
        <f>E206+F206+G206+H206+I206+J206+K206+L206</f>
        <v>476819.73000000004</v>
      </c>
      <c r="E206" s="48"/>
      <c r="F206" s="48">
        <v>7446.83</v>
      </c>
      <c r="G206" s="33"/>
      <c r="H206" s="33">
        <f>3880.5+89911.7+347864.4</f>
        <v>441656.60000000003</v>
      </c>
      <c r="I206" s="33">
        <v>1587.6</v>
      </c>
      <c r="J206" s="33"/>
      <c r="K206" s="33">
        <v>630.79999999999995</v>
      </c>
      <c r="L206" s="33">
        <f>941.7+24556.2</f>
        <v>25497.9</v>
      </c>
    </row>
    <row r="207" spans="1:12" ht="85.5" customHeight="1" thickBot="1">
      <c r="A207" s="31" t="s">
        <v>72</v>
      </c>
      <c r="B207" s="81" t="s">
        <v>210</v>
      </c>
      <c r="C207" s="46" t="s">
        <v>34</v>
      </c>
      <c r="D207" s="109">
        <f>E207+F207+G207+H207+I207+J207+K207+L207</f>
        <v>249274.80000000002</v>
      </c>
      <c r="E207" s="48"/>
      <c r="F207" s="48">
        <v>474.7</v>
      </c>
      <c r="G207" s="33"/>
      <c r="H207" s="33">
        <f>2450+22585.4+212543</f>
        <v>237578.4</v>
      </c>
      <c r="I207" s="33">
        <v>1224.5999999999999</v>
      </c>
      <c r="J207" s="33"/>
      <c r="K207" s="33">
        <v>26</v>
      </c>
      <c r="L207" s="33">
        <f>692.4+9278.7</f>
        <v>9971.1</v>
      </c>
    </row>
    <row r="209" spans="1:9">
      <c r="C209" s="152" t="s">
        <v>383</v>
      </c>
      <c r="D209" s="153"/>
      <c r="E209" s="153"/>
      <c r="F209" s="153"/>
      <c r="G209" s="153"/>
      <c r="H209" s="153"/>
    </row>
    <row r="211" spans="1:9" ht="27" customHeight="1">
      <c r="A211" s="62" t="s">
        <v>215</v>
      </c>
      <c r="B211" s="149" t="s">
        <v>1</v>
      </c>
      <c r="C211" s="149"/>
      <c r="D211" s="149"/>
      <c r="E211" s="35" t="s">
        <v>216</v>
      </c>
      <c r="F211" s="149" t="s">
        <v>217</v>
      </c>
      <c r="G211" s="149"/>
    </row>
    <row r="212" spans="1:9">
      <c r="A212" s="61" t="s">
        <v>135</v>
      </c>
      <c r="B212" s="129">
        <v>2</v>
      </c>
      <c r="C212" s="129"/>
      <c r="D212" s="129"/>
      <c r="E212" s="56">
        <v>3</v>
      </c>
      <c r="F212" s="150">
        <v>4</v>
      </c>
      <c r="G212" s="150"/>
    </row>
    <row r="213" spans="1:9" ht="38.25" customHeight="1">
      <c r="A213" s="55" t="s">
        <v>135</v>
      </c>
      <c r="B213" s="127" t="s">
        <v>218</v>
      </c>
      <c r="C213" s="127"/>
      <c r="D213" s="127"/>
      <c r="E213" s="55" t="s">
        <v>225</v>
      </c>
      <c r="F213" s="151" t="s">
        <v>225</v>
      </c>
      <c r="G213" s="151"/>
    </row>
    <row r="214" spans="1:9" ht="36" customHeight="1">
      <c r="A214" s="55" t="s">
        <v>30</v>
      </c>
      <c r="B214" s="127" t="s">
        <v>219</v>
      </c>
      <c r="C214" s="127"/>
      <c r="D214" s="127"/>
      <c r="E214" s="55" t="s">
        <v>225</v>
      </c>
      <c r="F214" s="151" t="s">
        <v>225</v>
      </c>
      <c r="G214" s="151"/>
    </row>
    <row r="215" spans="1:9" ht="32.25" customHeight="1">
      <c r="A215" s="55" t="s">
        <v>31</v>
      </c>
      <c r="B215" s="127" t="s">
        <v>220</v>
      </c>
      <c r="C215" s="127"/>
      <c r="D215" s="127"/>
      <c r="E215" s="55" t="s">
        <v>225</v>
      </c>
      <c r="F215" s="151" t="s">
        <v>225</v>
      </c>
      <c r="G215" s="151"/>
    </row>
    <row r="217" spans="1:9" ht="18.75" customHeight="1">
      <c r="B217" s="148" t="s">
        <v>221</v>
      </c>
      <c r="C217" s="148"/>
      <c r="D217" s="148"/>
      <c r="E217" s="148"/>
      <c r="F217" s="148"/>
      <c r="G217" s="148"/>
      <c r="H217" s="67"/>
      <c r="I217" s="67"/>
    </row>
    <row r="218" spans="1:9" ht="19.5" thickBot="1">
      <c r="C218" s="112"/>
    </row>
    <row r="219" spans="1:9" ht="32.25">
      <c r="A219" s="39" t="s">
        <v>136</v>
      </c>
      <c r="B219" s="39" t="s">
        <v>222</v>
      </c>
      <c r="C219" s="39" t="s">
        <v>223</v>
      </c>
      <c r="D219" s="40" t="s">
        <v>217</v>
      </c>
      <c r="E219" s="139" t="s">
        <v>226</v>
      </c>
      <c r="F219" s="142"/>
      <c r="G219" s="142"/>
    </row>
    <row r="220" spans="1:9" ht="19.5" thickBot="1">
      <c r="A220" s="38"/>
      <c r="B220" s="38"/>
      <c r="C220" s="38"/>
      <c r="D220" s="41"/>
      <c r="E220" s="142"/>
      <c r="F220" s="142"/>
      <c r="G220" s="142"/>
    </row>
    <row r="221" spans="1:9" ht="19.5" thickBot="1">
      <c r="A221" s="36" t="s">
        <v>224</v>
      </c>
      <c r="B221" s="37" t="s">
        <v>225</v>
      </c>
      <c r="C221" s="37" t="s">
        <v>225</v>
      </c>
      <c r="D221" s="42" t="s">
        <v>225</v>
      </c>
      <c r="E221" s="145" t="s">
        <v>225</v>
      </c>
      <c r="F221" s="146"/>
      <c r="G221" s="147"/>
    </row>
    <row r="223" spans="1:9">
      <c r="C223" s="136" t="s">
        <v>227</v>
      </c>
      <c r="D223" s="136"/>
      <c r="E223" s="136"/>
      <c r="F223" s="136"/>
      <c r="G223" s="136"/>
    </row>
    <row r="224" spans="1:9" ht="32.25" customHeight="1">
      <c r="A224" s="123" t="s">
        <v>136</v>
      </c>
      <c r="B224" s="143" t="s">
        <v>1</v>
      </c>
      <c r="C224" s="143"/>
      <c r="D224" s="143" t="s">
        <v>216</v>
      </c>
      <c r="E224" s="143"/>
      <c r="F224" s="143" t="s">
        <v>217</v>
      </c>
      <c r="G224" s="143"/>
    </row>
    <row r="225" spans="1:7">
      <c r="A225" s="124">
        <v>1</v>
      </c>
      <c r="B225" s="144">
        <v>2</v>
      </c>
      <c r="C225" s="144"/>
      <c r="D225" s="144">
        <v>3</v>
      </c>
      <c r="E225" s="144"/>
      <c r="F225" s="144">
        <v>4</v>
      </c>
      <c r="G225" s="144"/>
    </row>
    <row r="226" spans="1:7" ht="84" customHeight="1">
      <c r="A226" s="123">
        <v>1</v>
      </c>
      <c r="B226" s="143" t="s">
        <v>228</v>
      </c>
      <c r="C226" s="143"/>
      <c r="D226" s="144">
        <v>1</v>
      </c>
      <c r="E226" s="144"/>
      <c r="F226" s="143">
        <v>107204.73</v>
      </c>
      <c r="G226" s="143"/>
    </row>
    <row r="227" spans="1:7" ht="61.5" customHeight="1">
      <c r="A227" s="123" t="s">
        <v>30</v>
      </c>
      <c r="B227" s="143" t="s">
        <v>229</v>
      </c>
      <c r="C227" s="143"/>
      <c r="D227" s="144">
        <v>1</v>
      </c>
      <c r="E227" s="144"/>
      <c r="F227" s="143">
        <v>107204.73</v>
      </c>
      <c r="G227" s="143"/>
    </row>
    <row r="228" spans="1:7" ht="102" customHeight="1">
      <c r="A228" s="123" t="s">
        <v>31</v>
      </c>
      <c r="B228" s="143" t="s">
        <v>230</v>
      </c>
      <c r="C228" s="143"/>
      <c r="D228" s="144">
        <v>0</v>
      </c>
      <c r="E228" s="144"/>
      <c r="F228" s="143">
        <v>0</v>
      </c>
      <c r="G228" s="143"/>
    </row>
    <row r="229" spans="1:7" ht="11.25" customHeight="1"/>
    <row r="230" spans="1:7" ht="54.75" customHeight="1">
      <c r="B230" s="126" t="s">
        <v>231</v>
      </c>
      <c r="C230" s="136"/>
      <c r="D230" s="136"/>
      <c r="E230" s="136"/>
      <c r="F230" s="136"/>
      <c r="G230" s="136"/>
    </row>
    <row r="231" spans="1:7" ht="18.75" customHeight="1">
      <c r="A231" s="137" t="s">
        <v>136</v>
      </c>
      <c r="B231" s="137" t="s">
        <v>232</v>
      </c>
      <c r="C231" s="137"/>
      <c r="D231" s="137" t="s">
        <v>233</v>
      </c>
      <c r="E231" s="137"/>
      <c r="F231" s="139" t="s">
        <v>236</v>
      </c>
      <c r="G231" s="139"/>
    </row>
    <row r="232" spans="1:7" ht="12.75" customHeight="1">
      <c r="A232" s="137"/>
      <c r="B232" s="137"/>
      <c r="C232" s="137"/>
      <c r="D232" s="137"/>
      <c r="E232" s="137"/>
      <c r="F232" s="139"/>
      <c r="G232" s="139"/>
    </row>
    <row r="233" spans="1:7" ht="19.5" customHeight="1">
      <c r="A233" s="137" t="s">
        <v>234</v>
      </c>
      <c r="B233" s="142"/>
      <c r="C233" s="142"/>
      <c r="D233" s="142"/>
      <c r="E233" s="142"/>
      <c r="F233" s="142"/>
      <c r="G233" s="142"/>
    </row>
    <row r="234" spans="1:7" ht="81" customHeight="1">
      <c r="A234" s="43" t="s">
        <v>224</v>
      </c>
      <c r="B234" s="139" t="s">
        <v>235</v>
      </c>
      <c r="C234" s="139"/>
      <c r="D234" s="140">
        <v>3.0265027400150001E+18</v>
      </c>
      <c r="E234" s="140"/>
      <c r="F234" s="141">
        <v>107204.73</v>
      </c>
      <c r="G234" s="141"/>
    </row>
    <row r="235" spans="1:7">
      <c r="A235" s="62"/>
      <c r="B235" s="129" t="s">
        <v>237</v>
      </c>
      <c r="C235" s="129"/>
      <c r="D235" s="129"/>
      <c r="E235" s="129"/>
      <c r="F235" s="129"/>
      <c r="G235" s="129"/>
    </row>
    <row r="236" spans="1:7">
      <c r="A236" s="43" t="s">
        <v>224</v>
      </c>
      <c r="B236" s="139">
        <v>0</v>
      </c>
      <c r="C236" s="139"/>
      <c r="D236" s="140">
        <v>0</v>
      </c>
      <c r="E236" s="140"/>
      <c r="F236" s="139">
        <v>0</v>
      </c>
      <c r="G236" s="139"/>
    </row>
    <row r="238" spans="1:7">
      <c r="C238" s="126" t="s">
        <v>238</v>
      </c>
      <c r="D238" s="126"/>
      <c r="E238" s="126"/>
      <c r="F238" s="126"/>
      <c r="G238" s="126"/>
    </row>
    <row r="239" spans="1:7">
      <c r="C239" s="126"/>
      <c r="D239" s="126"/>
      <c r="E239" s="126"/>
      <c r="F239" s="126"/>
      <c r="G239" s="126"/>
    </row>
    <row r="241" spans="1:7" ht="45.75" customHeight="1">
      <c r="A241" s="138" t="s">
        <v>136</v>
      </c>
      <c r="B241" s="137" t="s">
        <v>239</v>
      </c>
      <c r="C241" s="137"/>
      <c r="D241" s="137"/>
      <c r="E241" s="137"/>
      <c r="F241" s="137" t="s">
        <v>240</v>
      </c>
      <c r="G241" s="137"/>
    </row>
    <row r="242" spans="1:7">
      <c r="A242" s="138"/>
      <c r="B242" s="137"/>
      <c r="C242" s="137"/>
      <c r="D242" s="137"/>
      <c r="E242" s="137"/>
      <c r="F242" s="137"/>
      <c r="G242" s="137"/>
    </row>
    <row r="243" spans="1:7" ht="195" customHeight="1">
      <c r="A243" s="138">
        <v>1</v>
      </c>
      <c r="B243" s="139" t="s">
        <v>242</v>
      </c>
      <c r="C243" s="139"/>
      <c r="D243" s="139"/>
      <c r="E243" s="139"/>
      <c r="F243" s="139" t="s">
        <v>241</v>
      </c>
      <c r="G243" s="139"/>
    </row>
    <row r="244" spans="1:7">
      <c r="A244" s="138"/>
      <c r="B244" s="139"/>
      <c r="C244" s="139"/>
      <c r="D244" s="139"/>
      <c r="E244" s="139"/>
      <c r="F244" s="139"/>
      <c r="G244" s="139"/>
    </row>
    <row r="245" spans="1:7">
      <c r="A245" s="138"/>
      <c r="B245" s="139"/>
      <c r="C245" s="139"/>
      <c r="D245" s="139"/>
      <c r="E245" s="139"/>
      <c r="F245" s="139"/>
      <c r="G245" s="139"/>
    </row>
    <row r="246" spans="1:7" ht="154.5" customHeight="1">
      <c r="A246" s="138"/>
      <c r="B246" s="139"/>
      <c r="C246" s="139"/>
      <c r="D246" s="139"/>
      <c r="E246" s="139"/>
      <c r="F246" s="139"/>
      <c r="G246" s="139"/>
    </row>
    <row r="248" spans="1:7" ht="36" customHeight="1">
      <c r="B248" s="126" t="s">
        <v>243</v>
      </c>
      <c r="C248" s="126"/>
      <c r="D248" s="126"/>
      <c r="E248" s="126"/>
      <c r="F248" s="126"/>
      <c r="G248" s="126"/>
    </row>
    <row r="249" spans="1:7" ht="75.75" customHeight="1">
      <c r="A249" s="137" t="s">
        <v>136</v>
      </c>
      <c r="B249" s="137" t="s">
        <v>244</v>
      </c>
      <c r="C249" s="137"/>
      <c r="D249" s="137"/>
      <c r="E249" s="137" t="s">
        <v>245</v>
      </c>
      <c r="F249" s="137"/>
      <c r="G249" s="137"/>
    </row>
    <row r="250" spans="1:7">
      <c r="A250" s="137"/>
      <c r="B250" s="137"/>
      <c r="C250" s="137"/>
      <c r="D250" s="137"/>
      <c r="E250" s="137"/>
      <c r="F250" s="137"/>
      <c r="G250" s="137"/>
    </row>
    <row r="251" spans="1:7" ht="90.75" customHeight="1">
      <c r="A251" s="62" t="s">
        <v>135</v>
      </c>
      <c r="B251" s="127" t="s">
        <v>246</v>
      </c>
      <c r="C251" s="127"/>
      <c r="D251" s="127"/>
      <c r="E251" s="127" t="s">
        <v>247</v>
      </c>
      <c r="F251" s="127"/>
      <c r="G251" s="127"/>
    </row>
    <row r="252" spans="1:7" ht="78.75" customHeight="1">
      <c r="A252" s="62" t="s">
        <v>49</v>
      </c>
      <c r="B252" s="127" t="s">
        <v>248</v>
      </c>
      <c r="C252" s="127"/>
      <c r="D252" s="127"/>
      <c r="E252" s="127" t="s">
        <v>249</v>
      </c>
      <c r="F252" s="127"/>
      <c r="G252" s="127"/>
    </row>
    <row r="253" spans="1:7" ht="99" customHeight="1">
      <c r="A253" s="62" t="s">
        <v>50</v>
      </c>
      <c r="B253" s="127" t="s">
        <v>250</v>
      </c>
      <c r="C253" s="127"/>
      <c r="D253" s="127"/>
      <c r="E253" s="127" t="s">
        <v>251</v>
      </c>
      <c r="F253" s="127"/>
      <c r="G253" s="127"/>
    </row>
    <row r="254" spans="1:7" ht="234" customHeight="1">
      <c r="A254" s="62" t="s">
        <v>51</v>
      </c>
      <c r="B254" s="127" t="s">
        <v>252</v>
      </c>
      <c r="C254" s="127"/>
      <c r="D254" s="127"/>
      <c r="E254" s="127" t="s">
        <v>253</v>
      </c>
      <c r="F254" s="127"/>
      <c r="G254" s="127"/>
    </row>
    <row r="255" spans="1:7" ht="120" customHeight="1">
      <c r="A255" s="62" t="s">
        <v>52</v>
      </c>
      <c r="B255" s="127" t="s">
        <v>254</v>
      </c>
      <c r="C255" s="127"/>
      <c r="D255" s="127"/>
      <c r="E255" s="127" t="s">
        <v>255</v>
      </c>
      <c r="F255" s="127"/>
      <c r="G255" s="127"/>
    </row>
    <row r="256" spans="1:7" ht="30.75" customHeight="1">
      <c r="A256" s="68"/>
      <c r="B256" s="113"/>
      <c r="C256" s="113"/>
      <c r="D256" s="113"/>
      <c r="E256" s="113"/>
      <c r="F256" s="113"/>
      <c r="G256" s="69"/>
    </row>
    <row r="257" spans="1:9">
      <c r="C257" s="114" t="s">
        <v>256</v>
      </c>
      <c r="D257" s="114"/>
      <c r="E257" s="114"/>
      <c r="F257" s="70"/>
      <c r="G257" s="53"/>
    </row>
    <row r="258" spans="1:9">
      <c r="C258" s="136"/>
      <c r="D258" s="136"/>
      <c r="E258" s="136"/>
      <c r="F258" s="136"/>
      <c r="G258" s="136"/>
    </row>
    <row r="259" spans="1:9" ht="63.75" customHeight="1">
      <c r="A259" s="46" t="s">
        <v>136</v>
      </c>
      <c r="B259" s="131" t="s">
        <v>1</v>
      </c>
      <c r="C259" s="131"/>
      <c r="D259" s="46" t="s">
        <v>216</v>
      </c>
      <c r="E259" s="48" t="s">
        <v>217</v>
      </c>
      <c r="F259" s="48" t="s">
        <v>257</v>
      </c>
      <c r="G259" s="45"/>
      <c r="H259" s="45"/>
      <c r="I259" s="45"/>
    </row>
    <row r="260" spans="1:9">
      <c r="A260" s="46">
        <v>1</v>
      </c>
      <c r="B260" s="131">
        <v>2</v>
      </c>
      <c r="C260" s="131"/>
      <c r="D260" s="46">
        <v>3</v>
      </c>
      <c r="E260" s="49">
        <v>4</v>
      </c>
      <c r="F260" s="49">
        <v>5</v>
      </c>
      <c r="G260" s="50"/>
      <c r="H260" s="50"/>
      <c r="I260" s="50"/>
    </row>
    <row r="261" spans="1:9" ht="32.25" customHeight="1">
      <c r="A261" s="46" t="s">
        <v>224</v>
      </c>
      <c r="B261" s="131" t="s">
        <v>258</v>
      </c>
      <c r="C261" s="131"/>
      <c r="D261" s="46">
        <f>2+19+1+1+1+4+1</f>
        <v>29</v>
      </c>
      <c r="E261" s="48">
        <f>2498.7+13273.60815+375.9+610.91+994.369+3427.71+35.904</f>
        <v>21217.101149999999</v>
      </c>
      <c r="F261" s="48">
        <f>485.8+340.52492+319.1+610.91+626.02+2288.099+4.51</f>
        <v>4674.9639200000001</v>
      </c>
      <c r="G261" s="45"/>
      <c r="H261" s="45"/>
      <c r="I261" s="45"/>
    </row>
    <row r="262" spans="1:9">
      <c r="A262" s="46" t="s">
        <v>186</v>
      </c>
      <c r="B262" s="131" t="s">
        <v>259</v>
      </c>
      <c r="C262" s="131"/>
      <c r="D262" s="46"/>
      <c r="E262" s="48"/>
      <c r="F262" s="48"/>
      <c r="G262" s="45"/>
      <c r="H262" s="45"/>
      <c r="I262" s="45"/>
    </row>
    <row r="263" spans="1:9" ht="32.25" customHeight="1">
      <c r="A263" s="46" t="s">
        <v>260</v>
      </c>
      <c r="B263" s="131" t="s">
        <v>261</v>
      </c>
      <c r="C263" s="131"/>
      <c r="D263" s="46"/>
      <c r="E263" s="48"/>
      <c r="F263" s="48"/>
      <c r="G263" s="45"/>
      <c r="H263" s="45"/>
      <c r="I263" s="45"/>
    </row>
    <row r="264" spans="1:9" ht="63.75" customHeight="1">
      <c r="A264" s="46" t="s">
        <v>262</v>
      </c>
      <c r="B264" s="131" t="s">
        <v>263</v>
      </c>
      <c r="C264" s="131"/>
      <c r="D264" s="46"/>
      <c r="E264" s="48"/>
      <c r="F264" s="48"/>
      <c r="G264" s="45"/>
      <c r="H264" s="45"/>
      <c r="I264" s="45"/>
    </row>
    <row r="265" spans="1:9">
      <c r="A265" s="46" t="s">
        <v>264</v>
      </c>
      <c r="B265" s="131" t="s">
        <v>265</v>
      </c>
      <c r="C265" s="131"/>
      <c r="D265" s="46">
        <f>1+19+1+1+1+4</f>
        <v>27</v>
      </c>
      <c r="E265" s="48">
        <f>1569.8+3273.60815+375.9+610.91+994.369+3427.71+35.904</f>
        <v>10288.201149999999</v>
      </c>
      <c r="F265" s="48">
        <f>485.8+340.52492+319.1+610.91+626.02+2288.099+4.51</f>
        <v>4674.9639200000001</v>
      </c>
      <c r="G265" s="45"/>
      <c r="H265" s="45"/>
      <c r="I265" s="45"/>
    </row>
    <row r="266" spans="1:9" ht="32.25" customHeight="1">
      <c r="A266" s="46" t="s">
        <v>266</v>
      </c>
      <c r="B266" s="131" t="s">
        <v>267</v>
      </c>
      <c r="C266" s="131"/>
      <c r="D266" s="46">
        <v>19</v>
      </c>
      <c r="E266" s="48">
        <v>3273.60815</v>
      </c>
      <c r="F266" s="48">
        <v>340.52499999999998</v>
      </c>
      <c r="G266" s="45"/>
      <c r="H266" s="45"/>
      <c r="I266" s="45"/>
    </row>
    <row r="267" spans="1:9" ht="63.75" customHeight="1">
      <c r="A267" s="46" t="s">
        <v>268</v>
      </c>
      <c r="B267" s="131" t="s">
        <v>263</v>
      </c>
      <c r="C267" s="131"/>
      <c r="D267" s="46">
        <f>1+1+1</f>
        <v>3</v>
      </c>
      <c r="E267" s="48">
        <f>610.91+994.369+35.904</f>
        <v>1641.183</v>
      </c>
      <c r="F267" s="48">
        <f>610.91+626.02+4.51</f>
        <v>1241.4399999999998</v>
      </c>
      <c r="G267" s="45"/>
      <c r="H267" s="45"/>
      <c r="I267" s="45"/>
    </row>
    <row r="268" spans="1:9" ht="63.75" customHeight="1">
      <c r="A268" s="46" t="s">
        <v>269</v>
      </c>
      <c r="B268" s="131" t="s">
        <v>270</v>
      </c>
      <c r="C268" s="131"/>
      <c r="D268" s="46">
        <f>1+4</f>
        <v>5</v>
      </c>
      <c r="E268" s="48">
        <f>1569.8+375.9+3427.71</f>
        <v>5373.41</v>
      </c>
      <c r="F268" s="48">
        <f>485.8+319.1+2288.099</f>
        <v>3092.9990000000003</v>
      </c>
      <c r="G268" s="45"/>
      <c r="H268" s="45"/>
      <c r="I268" s="45"/>
    </row>
    <row r="269" spans="1:9" ht="48" customHeight="1">
      <c r="A269" s="46" t="s">
        <v>271</v>
      </c>
      <c r="B269" s="131" t="s">
        <v>272</v>
      </c>
      <c r="C269" s="131"/>
      <c r="D269" s="46">
        <f>1+1</f>
        <v>2</v>
      </c>
      <c r="E269" s="48">
        <f>928.8+10000</f>
        <v>10928.8</v>
      </c>
      <c r="F269" s="48">
        <v>3140</v>
      </c>
      <c r="G269" s="45"/>
      <c r="H269" s="45"/>
      <c r="I269" s="64"/>
    </row>
    <row r="270" spans="1:9" ht="32.25" customHeight="1">
      <c r="A270" s="46" t="s">
        <v>273</v>
      </c>
      <c r="B270" s="131" t="s">
        <v>267</v>
      </c>
      <c r="C270" s="131"/>
      <c r="D270" s="46"/>
      <c r="E270" s="48"/>
      <c r="F270" s="48"/>
      <c r="G270" s="45"/>
      <c r="H270" s="45"/>
      <c r="I270" s="64"/>
    </row>
    <row r="271" spans="1:9" ht="63.75" customHeight="1">
      <c r="A271" s="46" t="s">
        <v>274</v>
      </c>
      <c r="B271" s="131" t="s">
        <v>263</v>
      </c>
      <c r="C271" s="131"/>
      <c r="D271" s="46">
        <f>1+1</f>
        <v>2</v>
      </c>
      <c r="E271" s="48">
        <f>928.8+10000</f>
        <v>10928.8</v>
      </c>
      <c r="F271" s="48"/>
      <c r="G271" s="45"/>
      <c r="H271" s="45"/>
      <c r="I271" s="64"/>
    </row>
    <row r="272" spans="1:9" ht="63.75" customHeight="1">
      <c r="A272" s="46" t="s">
        <v>275</v>
      </c>
      <c r="B272" s="131" t="s">
        <v>276</v>
      </c>
      <c r="C272" s="131"/>
      <c r="D272" s="46"/>
      <c r="E272" s="48"/>
      <c r="F272" s="48"/>
      <c r="G272" s="45"/>
      <c r="H272" s="45"/>
    </row>
    <row r="273" spans="1:8" ht="32.25" customHeight="1">
      <c r="A273" s="46" t="s">
        <v>277</v>
      </c>
      <c r="B273" s="131" t="s">
        <v>267</v>
      </c>
      <c r="C273" s="131"/>
      <c r="D273" s="46"/>
      <c r="E273" s="48"/>
      <c r="F273" s="48"/>
      <c r="G273" s="45"/>
      <c r="H273" s="45"/>
    </row>
    <row r="274" spans="1:8" ht="48" customHeight="1">
      <c r="A274" s="46" t="s">
        <v>278</v>
      </c>
      <c r="B274" s="131" t="s">
        <v>279</v>
      </c>
      <c r="C274" s="131"/>
      <c r="D274" s="46"/>
      <c r="E274" s="48"/>
      <c r="F274" s="48"/>
      <c r="G274" s="45"/>
      <c r="H274" s="45"/>
    </row>
    <row r="275" spans="1:8" ht="32.25" customHeight="1">
      <c r="A275" s="46" t="s">
        <v>280</v>
      </c>
      <c r="B275" s="131" t="s">
        <v>281</v>
      </c>
      <c r="C275" s="131"/>
      <c r="D275" s="46">
        <f>82+72+14+119+244+3+51+33+53+28+2521+1000</f>
        <v>4220</v>
      </c>
      <c r="E275" s="48">
        <f>337604.9+1360.89474+9938.6+2351.604+12563.61+2274.114+29715.212+1347.362+867.75592+381.1+238580.09</f>
        <v>636985.24265999999</v>
      </c>
      <c r="F275" s="48" t="s">
        <v>282</v>
      </c>
      <c r="G275" s="45"/>
      <c r="H275" s="45"/>
    </row>
    <row r="276" spans="1:8" ht="32.25" customHeight="1">
      <c r="A276" s="46" t="s">
        <v>283</v>
      </c>
      <c r="B276" s="131" t="s">
        <v>284</v>
      </c>
      <c r="C276" s="131"/>
      <c r="D276" s="46">
        <f>14+1+1+3+16</f>
        <v>35</v>
      </c>
      <c r="E276" s="48">
        <f>244810.5+10191.2+12.319+26877.3</f>
        <v>281891.31900000002</v>
      </c>
      <c r="F276" s="48">
        <f>142952.8+1920.7+23000.5</f>
        <v>167874</v>
      </c>
      <c r="G276" s="45"/>
      <c r="H276" s="45"/>
    </row>
    <row r="277" spans="1:8">
      <c r="A277" s="46" t="s">
        <v>285</v>
      </c>
      <c r="B277" s="131" t="s">
        <v>286</v>
      </c>
      <c r="C277" s="131"/>
      <c r="D277" s="46">
        <f>3+20</f>
        <v>23</v>
      </c>
      <c r="E277" s="48">
        <f>4751+1812.363+13273.608</f>
        <v>19836.971000000001</v>
      </c>
      <c r="F277" s="48">
        <f>720.2+3480.52</f>
        <v>4200.72</v>
      </c>
      <c r="G277" s="45"/>
      <c r="H277" s="45"/>
    </row>
    <row r="278" spans="1:8" ht="32.25" customHeight="1">
      <c r="A278" s="46" t="s">
        <v>287</v>
      </c>
      <c r="B278" s="131" t="s">
        <v>267</v>
      </c>
      <c r="C278" s="131"/>
      <c r="D278" s="46">
        <v>19</v>
      </c>
      <c r="E278" s="48">
        <v>3273.6080000000002</v>
      </c>
      <c r="F278" s="48">
        <v>340.52</v>
      </c>
      <c r="G278" s="45"/>
      <c r="H278" s="45"/>
    </row>
    <row r="279" spans="1:8" ht="63.75" customHeight="1">
      <c r="A279" s="46" t="s">
        <v>288</v>
      </c>
      <c r="B279" s="131" t="s">
        <v>263</v>
      </c>
      <c r="C279" s="131"/>
      <c r="D279" s="46">
        <f>3+1</f>
        <v>4</v>
      </c>
      <c r="E279" s="48">
        <f>4751+10000</f>
        <v>14751</v>
      </c>
      <c r="F279" s="48">
        <f>720.2+3140</f>
        <v>3860.2</v>
      </c>
      <c r="G279" s="45"/>
      <c r="H279" s="45"/>
    </row>
    <row r="280" spans="1:8" ht="48" customHeight="1">
      <c r="A280" s="46" t="s">
        <v>289</v>
      </c>
      <c r="B280" s="131" t="s">
        <v>290</v>
      </c>
      <c r="C280" s="131"/>
      <c r="D280" s="46"/>
      <c r="E280" s="48"/>
      <c r="F280" s="48"/>
      <c r="G280" s="45"/>
      <c r="H280" s="45"/>
    </row>
    <row r="281" spans="1:8" ht="22.5" customHeight="1"/>
    <row r="282" spans="1:8" ht="63.75" customHeight="1">
      <c r="C282" s="133" t="s">
        <v>291</v>
      </c>
      <c r="D282" s="181"/>
      <c r="E282" s="181"/>
      <c r="F282" s="181"/>
    </row>
    <row r="283" spans="1:8">
      <c r="A283" s="54" t="s">
        <v>215</v>
      </c>
      <c r="B283" s="35" t="s">
        <v>292</v>
      </c>
      <c r="C283" s="129" t="s">
        <v>293</v>
      </c>
      <c r="D283" s="129"/>
      <c r="E283" s="129"/>
      <c r="F283" s="129"/>
    </row>
    <row r="284" spans="1:8">
      <c r="A284" s="55" t="s">
        <v>135</v>
      </c>
      <c r="B284" s="56">
        <v>2</v>
      </c>
      <c r="C284" s="129">
        <v>3</v>
      </c>
      <c r="D284" s="129"/>
      <c r="E284" s="129"/>
      <c r="F284" s="129"/>
    </row>
    <row r="285" spans="1:8" ht="63" customHeight="1">
      <c r="A285" s="54" t="s">
        <v>135</v>
      </c>
      <c r="B285" s="57">
        <v>1.01300044014E+17</v>
      </c>
      <c r="C285" s="127" t="s">
        <v>294</v>
      </c>
      <c r="D285" s="127"/>
      <c r="E285" s="127"/>
      <c r="F285" s="127"/>
    </row>
    <row r="286" spans="1:8">
      <c r="A286" s="54"/>
      <c r="B286" s="59">
        <v>8.0130001431500006E+17</v>
      </c>
      <c r="C286" s="129" t="s">
        <v>295</v>
      </c>
      <c r="D286" s="129"/>
      <c r="E286" s="129"/>
      <c r="F286" s="129"/>
    </row>
    <row r="287" spans="1:8" ht="1.5" customHeight="1"/>
    <row r="288" spans="1:8" ht="79.5" customHeight="1">
      <c r="C288" s="133" t="s">
        <v>296</v>
      </c>
      <c r="D288" s="181"/>
      <c r="E288" s="181"/>
      <c r="F288" s="181"/>
    </row>
    <row r="289" spans="1:6">
      <c r="A289" s="54" t="s">
        <v>215</v>
      </c>
      <c r="B289" s="129" t="s">
        <v>1</v>
      </c>
      <c r="C289" s="129"/>
      <c r="D289" s="129"/>
      <c r="E289" s="129" t="s">
        <v>297</v>
      </c>
      <c r="F289" s="129"/>
    </row>
    <row r="290" spans="1:6">
      <c r="A290" s="54" t="s">
        <v>135</v>
      </c>
      <c r="B290" s="129">
        <v>2</v>
      </c>
      <c r="C290" s="129"/>
      <c r="D290" s="129"/>
      <c r="E290" s="129">
        <v>3</v>
      </c>
      <c r="F290" s="129"/>
    </row>
    <row r="291" spans="1:6">
      <c r="A291" s="54" t="s">
        <v>135</v>
      </c>
      <c r="B291" s="129" t="s">
        <v>298</v>
      </c>
      <c r="C291" s="129"/>
      <c r="D291" s="129"/>
      <c r="E291" s="129">
        <v>62</v>
      </c>
      <c r="F291" s="129"/>
    </row>
    <row r="292" spans="1:6" ht="66" customHeight="1">
      <c r="A292" s="54" t="s">
        <v>49</v>
      </c>
      <c r="B292" s="127" t="s">
        <v>299</v>
      </c>
      <c r="C292" s="127"/>
      <c r="D292" s="127"/>
      <c r="E292" s="129">
        <v>32</v>
      </c>
      <c r="F292" s="129"/>
    </row>
    <row r="293" spans="1:6" ht="68.25" customHeight="1">
      <c r="A293" s="54" t="s">
        <v>50</v>
      </c>
      <c r="B293" s="127" t="s">
        <v>300</v>
      </c>
      <c r="C293" s="127"/>
      <c r="D293" s="127"/>
      <c r="E293" s="129">
        <v>71</v>
      </c>
      <c r="F293" s="129"/>
    </row>
    <row r="296" spans="1:6" ht="99" customHeight="1">
      <c r="B296" s="133" t="s">
        <v>418</v>
      </c>
      <c r="C296" s="133"/>
      <c r="D296" s="133"/>
      <c r="E296" s="133"/>
      <c r="F296" s="133"/>
    </row>
    <row r="297" spans="1:6" ht="73.5" customHeight="1">
      <c r="B297" s="128" t="s">
        <v>419</v>
      </c>
      <c r="C297" s="130"/>
      <c r="D297" s="130"/>
      <c r="E297" s="130"/>
      <c r="F297" s="130"/>
    </row>
    <row r="298" spans="1:6" ht="23.25" customHeight="1">
      <c r="A298" s="134" t="s">
        <v>215</v>
      </c>
      <c r="B298" s="132" t="s">
        <v>1</v>
      </c>
      <c r="C298" s="132"/>
      <c r="D298" s="131" t="s">
        <v>2</v>
      </c>
      <c r="E298" s="132" t="s">
        <v>420</v>
      </c>
      <c r="F298" s="132"/>
    </row>
    <row r="299" spans="1:6" ht="33" customHeight="1">
      <c r="A299" s="134"/>
      <c r="B299" s="132"/>
      <c r="C299" s="132"/>
      <c r="D299" s="131"/>
      <c r="E299" s="46" t="s">
        <v>421</v>
      </c>
      <c r="F299" s="46" t="s">
        <v>422</v>
      </c>
    </row>
    <row r="300" spans="1:6" ht="33" customHeight="1">
      <c r="A300" s="117" t="s">
        <v>135</v>
      </c>
      <c r="B300" s="132">
        <v>2</v>
      </c>
      <c r="C300" s="132"/>
      <c r="D300" s="46">
        <v>3</v>
      </c>
      <c r="E300" s="46">
        <v>4</v>
      </c>
      <c r="F300" s="46">
        <v>5</v>
      </c>
    </row>
    <row r="301" spans="1:6" ht="44.25" customHeight="1">
      <c r="A301" s="117" t="s">
        <v>135</v>
      </c>
      <c r="B301" s="131" t="s">
        <v>423</v>
      </c>
      <c r="C301" s="131"/>
      <c r="D301" s="116" t="s">
        <v>29</v>
      </c>
      <c r="E301" s="116">
        <v>12</v>
      </c>
      <c r="F301" s="116">
        <v>0</v>
      </c>
    </row>
    <row r="302" spans="1:6" ht="54.75" customHeight="1">
      <c r="A302" s="118" t="s">
        <v>49</v>
      </c>
      <c r="B302" s="131" t="s">
        <v>432</v>
      </c>
      <c r="C302" s="131"/>
      <c r="D302" s="46" t="s">
        <v>29</v>
      </c>
      <c r="E302" s="46">
        <v>10</v>
      </c>
      <c r="F302" s="46">
        <v>0</v>
      </c>
    </row>
    <row r="303" spans="1:6" ht="49.5" customHeight="1">
      <c r="A303" s="118" t="s">
        <v>50</v>
      </c>
      <c r="B303" s="131" t="s">
        <v>433</v>
      </c>
      <c r="C303" s="131"/>
      <c r="D303" s="46" t="s">
        <v>29</v>
      </c>
      <c r="E303" s="46">
        <v>2</v>
      </c>
      <c r="F303" s="46">
        <v>0</v>
      </c>
    </row>
    <row r="304" spans="1:6" ht="54" customHeight="1">
      <c r="A304" s="118" t="s">
        <v>51</v>
      </c>
      <c r="B304" s="131" t="s">
        <v>434</v>
      </c>
      <c r="C304" s="131"/>
      <c r="D304" s="46" t="s">
        <v>29</v>
      </c>
      <c r="E304" s="46">
        <v>1</v>
      </c>
      <c r="F304" s="46">
        <v>0</v>
      </c>
    </row>
    <row r="305" spans="1:6" ht="72" customHeight="1">
      <c r="A305" s="118" t="s">
        <v>52</v>
      </c>
      <c r="B305" s="131" t="s">
        <v>435</v>
      </c>
      <c r="C305" s="131"/>
      <c r="D305" s="46" t="s">
        <v>436</v>
      </c>
      <c r="E305" s="46">
        <v>35</v>
      </c>
      <c r="F305" s="46">
        <v>0</v>
      </c>
    </row>
    <row r="306" spans="1:6" ht="54" customHeight="1">
      <c r="A306" s="118" t="s">
        <v>58</v>
      </c>
      <c r="B306" s="131" t="s">
        <v>437</v>
      </c>
      <c r="C306" s="131"/>
      <c r="D306" s="46" t="s">
        <v>436</v>
      </c>
      <c r="E306" s="46">
        <v>35</v>
      </c>
      <c r="F306" s="46">
        <v>0</v>
      </c>
    </row>
    <row r="308" spans="1:6" ht="81" customHeight="1">
      <c r="A308" s="119"/>
      <c r="B308" s="128" t="s">
        <v>438</v>
      </c>
      <c r="C308" s="130"/>
      <c r="D308" s="130"/>
      <c r="E308" s="130"/>
      <c r="F308" s="130"/>
    </row>
    <row r="309" spans="1:6" ht="47.25" customHeight="1">
      <c r="A309" s="55" t="s">
        <v>215</v>
      </c>
      <c r="B309" s="127" t="s">
        <v>439</v>
      </c>
      <c r="C309" s="129"/>
      <c r="D309" s="129"/>
      <c r="E309" s="127" t="s">
        <v>440</v>
      </c>
      <c r="F309" s="129"/>
    </row>
    <row r="310" spans="1:6">
      <c r="A310" s="55" t="s">
        <v>135</v>
      </c>
      <c r="B310" s="129">
        <v>2</v>
      </c>
      <c r="C310" s="129"/>
      <c r="D310" s="129"/>
      <c r="E310" s="129">
        <v>3</v>
      </c>
      <c r="F310" s="129"/>
    </row>
    <row r="311" spans="1:6" ht="93.75" customHeight="1">
      <c r="A311" s="55" t="s">
        <v>135</v>
      </c>
      <c r="B311" s="127" t="s">
        <v>441</v>
      </c>
      <c r="C311" s="127"/>
      <c r="D311" s="127"/>
      <c r="E311" s="127" t="s">
        <v>442</v>
      </c>
      <c r="F311" s="127"/>
    </row>
    <row r="312" spans="1:6" ht="148.5" customHeight="1">
      <c r="A312" s="55" t="s">
        <v>49</v>
      </c>
      <c r="B312" s="127" t="s">
        <v>443</v>
      </c>
      <c r="C312" s="127"/>
      <c r="D312" s="127"/>
      <c r="E312" s="127" t="s">
        <v>444</v>
      </c>
      <c r="F312" s="127"/>
    </row>
    <row r="314" spans="1:6" ht="68.25" customHeight="1">
      <c r="B314" s="128" t="s">
        <v>467</v>
      </c>
      <c r="C314" s="130"/>
      <c r="D314" s="130"/>
      <c r="E314" s="130"/>
      <c r="F314" s="130"/>
    </row>
    <row r="315" spans="1:6" ht="48">
      <c r="A315" s="121" t="s">
        <v>215</v>
      </c>
      <c r="B315" s="127" t="s">
        <v>1</v>
      </c>
      <c r="C315" s="127"/>
      <c r="D315" s="127"/>
      <c r="E315" s="58" t="s">
        <v>445</v>
      </c>
      <c r="F315" s="58" t="s">
        <v>446</v>
      </c>
    </row>
    <row r="316" spans="1:6">
      <c r="A316" s="121" t="s">
        <v>135</v>
      </c>
      <c r="B316" s="127">
        <v>2</v>
      </c>
      <c r="C316" s="127"/>
      <c r="D316" s="127"/>
      <c r="E316" s="58">
        <v>3</v>
      </c>
      <c r="F316" s="58">
        <v>4</v>
      </c>
    </row>
    <row r="317" spans="1:6" ht="57" customHeight="1">
      <c r="A317" s="121" t="s">
        <v>135</v>
      </c>
      <c r="B317" s="127" t="s">
        <v>447</v>
      </c>
      <c r="C317" s="127"/>
      <c r="D317" s="127"/>
      <c r="E317" s="58">
        <v>361</v>
      </c>
      <c r="F317" s="122">
        <v>26417.124390000001</v>
      </c>
    </row>
    <row r="318" spans="1:6" ht="73.5" customHeight="1">
      <c r="A318" s="121" t="s">
        <v>30</v>
      </c>
      <c r="B318" s="127" t="s">
        <v>448</v>
      </c>
      <c r="C318" s="127"/>
      <c r="D318" s="127"/>
      <c r="E318" s="58">
        <v>0</v>
      </c>
      <c r="F318" s="58">
        <v>0</v>
      </c>
    </row>
    <row r="319" spans="1:6" ht="39" customHeight="1">
      <c r="A319" s="121" t="s">
        <v>31</v>
      </c>
      <c r="B319" s="127" t="s">
        <v>449</v>
      </c>
      <c r="C319" s="127"/>
      <c r="D319" s="127"/>
      <c r="E319" s="58">
        <v>0</v>
      </c>
      <c r="F319" s="58">
        <v>0</v>
      </c>
    </row>
    <row r="320" spans="1:6" ht="72" customHeight="1">
      <c r="A320" s="121" t="s">
        <v>450</v>
      </c>
      <c r="B320" s="127" t="s">
        <v>451</v>
      </c>
      <c r="C320" s="127"/>
      <c r="D320" s="127"/>
      <c r="E320" s="58">
        <v>0</v>
      </c>
      <c r="F320" s="58">
        <v>0</v>
      </c>
    </row>
    <row r="321" spans="1:6" ht="51.75" customHeight="1">
      <c r="A321" s="121" t="s">
        <v>452</v>
      </c>
      <c r="B321" s="127" t="s">
        <v>453</v>
      </c>
      <c r="C321" s="127"/>
      <c r="D321" s="127"/>
      <c r="E321" s="58">
        <v>0</v>
      </c>
      <c r="F321" s="58">
        <v>0</v>
      </c>
    </row>
    <row r="322" spans="1:6" ht="57" customHeight="1">
      <c r="A322" s="121" t="s">
        <v>454</v>
      </c>
      <c r="B322" s="127" t="s">
        <v>455</v>
      </c>
      <c r="C322" s="127"/>
      <c r="D322" s="127"/>
      <c r="E322" s="58">
        <v>0</v>
      </c>
      <c r="F322" s="58">
        <v>0</v>
      </c>
    </row>
    <row r="323" spans="1:6" ht="74.25" customHeight="1">
      <c r="A323" s="121" t="s">
        <v>456</v>
      </c>
      <c r="B323" s="127" t="s">
        <v>457</v>
      </c>
      <c r="C323" s="127"/>
      <c r="D323" s="127"/>
      <c r="E323" s="58">
        <v>0</v>
      </c>
      <c r="F323" s="58">
        <v>0</v>
      </c>
    </row>
    <row r="324" spans="1:6" ht="61.5" customHeight="1">
      <c r="A324" s="121" t="s">
        <v>458</v>
      </c>
      <c r="B324" s="127" t="s">
        <v>459</v>
      </c>
      <c r="C324" s="127"/>
      <c r="D324" s="127"/>
      <c r="E324" s="58">
        <v>0</v>
      </c>
      <c r="F324" s="58">
        <v>0</v>
      </c>
    </row>
    <row r="325" spans="1:6">
      <c r="A325" s="120"/>
      <c r="B325" s="128"/>
      <c r="C325" s="128"/>
      <c r="D325" s="128"/>
      <c r="E325" s="72"/>
      <c r="F325" s="72"/>
    </row>
    <row r="326" spans="1:6">
      <c r="A326" s="120"/>
      <c r="B326" s="128"/>
      <c r="C326" s="128"/>
      <c r="D326" s="128"/>
      <c r="E326" s="72"/>
      <c r="F326" s="72"/>
    </row>
    <row r="327" spans="1:6">
      <c r="A327" s="120"/>
      <c r="B327" s="72"/>
      <c r="C327" s="72"/>
      <c r="D327" s="72"/>
      <c r="E327" s="72"/>
      <c r="F327" s="72"/>
    </row>
    <row r="328" spans="1:6">
      <c r="A328" s="74"/>
      <c r="B328" s="73"/>
      <c r="C328" s="73"/>
      <c r="D328" s="73"/>
      <c r="E328" s="73"/>
      <c r="F328" s="73"/>
    </row>
    <row r="329" spans="1:6">
      <c r="A329" s="74"/>
      <c r="B329" s="73"/>
      <c r="C329" s="73"/>
      <c r="D329" s="73"/>
      <c r="E329" s="73"/>
      <c r="F329" s="73"/>
    </row>
    <row r="330" spans="1:6">
      <c r="A330" s="74"/>
      <c r="B330" s="73"/>
      <c r="C330" s="73"/>
      <c r="D330" s="73"/>
      <c r="E330" s="73"/>
      <c r="F330" s="73"/>
    </row>
    <row r="331" spans="1:6">
      <c r="A331" s="74"/>
      <c r="B331" s="73"/>
      <c r="C331" s="73"/>
      <c r="D331" s="73"/>
      <c r="E331" s="73"/>
      <c r="F331" s="73"/>
    </row>
    <row r="332" spans="1:6">
      <c r="A332" s="74"/>
      <c r="B332" s="73"/>
      <c r="C332" s="73"/>
      <c r="D332" s="73"/>
      <c r="E332" s="73"/>
      <c r="F332" s="73"/>
    </row>
    <row r="333" spans="1:6">
      <c r="A333" s="74"/>
      <c r="B333" s="73"/>
      <c r="C333" s="73"/>
      <c r="D333" s="73"/>
      <c r="E333" s="73"/>
      <c r="F333" s="73"/>
    </row>
    <row r="334" spans="1:6">
      <c r="A334" s="74"/>
      <c r="B334" s="73"/>
      <c r="C334" s="73"/>
      <c r="D334" s="73"/>
      <c r="E334" s="73"/>
      <c r="F334" s="73"/>
    </row>
    <row r="335" spans="1:6">
      <c r="A335" s="74"/>
      <c r="B335" s="73"/>
      <c r="C335" s="73"/>
      <c r="D335" s="73"/>
      <c r="E335" s="73"/>
      <c r="F335" s="73"/>
    </row>
    <row r="336" spans="1:6">
      <c r="A336" s="74"/>
      <c r="B336" s="73"/>
      <c r="C336" s="73"/>
      <c r="D336" s="73"/>
      <c r="E336" s="73"/>
      <c r="F336" s="73"/>
    </row>
    <row r="337" spans="1:6">
      <c r="A337" s="74"/>
      <c r="B337" s="73"/>
      <c r="C337" s="73"/>
      <c r="D337" s="73"/>
      <c r="E337" s="73"/>
      <c r="F337" s="73"/>
    </row>
    <row r="338" spans="1:6">
      <c r="A338" s="74"/>
      <c r="B338" s="73"/>
      <c r="C338" s="73"/>
      <c r="D338" s="73"/>
      <c r="E338" s="73"/>
      <c r="F338" s="73"/>
    </row>
    <row r="339" spans="1:6">
      <c r="A339" s="74"/>
      <c r="B339" s="73"/>
      <c r="C339" s="73"/>
      <c r="D339" s="73"/>
      <c r="E339" s="73"/>
      <c r="F339" s="73"/>
    </row>
    <row r="340" spans="1:6">
      <c r="A340" s="74"/>
      <c r="B340" s="73"/>
      <c r="C340" s="73"/>
      <c r="D340" s="73"/>
      <c r="E340" s="73"/>
      <c r="F340" s="73"/>
    </row>
    <row r="341" spans="1:6">
      <c r="A341" s="74"/>
      <c r="B341" s="73"/>
      <c r="C341" s="73"/>
      <c r="D341" s="73"/>
      <c r="E341" s="73"/>
      <c r="F341" s="73"/>
    </row>
    <row r="342" spans="1:6">
      <c r="A342" s="74"/>
      <c r="B342" s="73"/>
      <c r="C342" s="73"/>
      <c r="D342" s="73"/>
      <c r="E342" s="73"/>
      <c r="F342" s="73"/>
    </row>
    <row r="343" spans="1:6">
      <c r="A343" s="74"/>
      <c r="B343" s="73"/>
      <c r="C343" s="73"/>
      <c r="D343" s="73"/>
      <c r="E343" s="73"/>
      <c r="F343" s="73"/>
    </row>
    <row r="344" spans="1:6">
      <c r="A344" s="74"/>
      <c r="B344" s="73"/>
      <c r="C344" s="73"/>
      <c r="D344" s="73"/>
      <c r="E344" s="73"/>
      <c r="F344" s="73"/>
    </row>
    <row r="345" spans="1:6">
      <c r="A345" s="74"/>
      <c r="B345" s="73"/>
      <c r="C345" s="73"/>
      <c r="D345" s="73"/>
      <c r="E345" s="73"/>
      <c r="F345" s="73"/>
    </row>
    <row r="346" spans="1:6">
      <c r="A346" s="74"/>
      <c r="B346" s="73"/>
      <c r="C346" s="73"/>
      <c r="D346" s="73"/>
      <c r="E346" s="73"/>
      <c r="F346" s="73"/>
    </row>
    <row r="347" spans="1:6">
      <c r="A347" s="74"/>
      <c r="B347" s="73"/>
      <c r="C347" s="73"/>
      <c r="D347" s="73"/>
      <c r="E347" s="73"/>
      <c r="F347" s="73"/>
    </row>
    <row r="348" spans="1:6">
      <c r="A348" s="74"/>
      <c r="B348" s="73"/>
      <c r="C348" s="73"/>
      <c r="D348" s="73"/>
      <c r="E348" s="73"/>
      <c r="F348" s="73"/>
    </row>
    <row r="349" spans="1:6">
      <c r="A349" s="74"/>
      <c r="B349" s="73"/>
      <c r="C349" s="73"/>
      <c r="D349" s="73"/>
      <c r="E349" s="73"/>
      <c r="F349" s="73"/>
    </row>
  </sheetData>
  <mergeCells count="317">
    <mergeCell ref="B291:D291"/>
    <mergeCell ref="E291:F291"/>
    <mergeCell ref="B292:D292"/>
    <mergeCell ref="E292:F292"/>
    <mergeCell ref="B293:D293"/>
    <mergeCell ref="E293:F293"/>
    <mergeCell ref="J11:K11"/>
    <mergeCell ref="J43:K43"/>
    <mergeCell ref="C282:F282"/>
    <mergeCell ref="C283:F283"/>
    <mergeCell ref="C284:F284"/>
    <mergeCell ref="C285:F285"/>
    <mergeCell ref="C286:F286"/>
    <mergeCell ref="C288:F288"/>
    <mergeCell ref="B289:D289"/>
    <mergeCell ref="E289:F289"/>
    <mergeCell ref="B290:D290"/>
    <mergeCell ref="E290:F290"/>
    <mergeCell ref="A161:M161"/>
    <mergeCell ref="A70:L70"/>
    <mergeCell ref="A73:A77"/>
    <mergeCell ref="B73:B77"/>
    <mergeCell ref="B27:I27"/>
    <mergeCell ref="B2:M2"/>
    <mergeCell ref="D5:G5"/>
    <mergeCell ref="J7:K7"/>
    <mergeCell ref="J6:K6"/>
    <mergeCell ref="E98:G98"/>
    <mergeCell ref="H98:H100"/>
    <mergeCell ref="I98:I100"/>
    <mergeCell ref="J75:J77"/>
    <mergeCell ref="E76:E77"/>
    <mergeCell ref="F76:F77"/>
    <mergeCell ref="K97:L98"/>
    <mergeCell ref="K99:K100"/>
    <mergeCell ref="L99:L100"/>
    <mergeCell ref="J98:J100"/>
    <mergeCell ref="E99:E100"/>
    <mergeCell ref="F99:F100"/>
    <mergeCell ref="A93:L93"/>
    <mergeCell ref="M74:M77"/>
    <mergeCell ref="E73:M73"/>
    <mergeCell ref="M97:M100"/>
    <mergeCell ref="E96:M96"/>
    <mergeCell ref="A96:A100"/>
    <mergeCell ref="B96:B100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46:I46"/>
    <mergeCell ref="B47:I47"/>
    <mergeCell ref="B48:I48"/>
    <mergeCell ref="B49:I49"/>
    <mergeCell ref="B50:I50"/>
    <mergeCell ref="B51:I51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C173:K173"/>
    <mergeCell ref="C172:K172"/>
    <mergeCell ref="J65:K65"/>
    <mergeCell ref="J64:K64"/>
    <mergeCell ref="J63:K63"/>
    <mergeCell ref="J62:K62"/>
    <mergeCell ref="G99:G100"/>
    <mergeCell ref="J68:K68"/>
    <mergeCell ref="J67:K67"/>
    <mergeCell ref="J66:K66"/>
    <mergeCell ref="A148:M148"/>
    <mergeCell ref="C96:C100"/>
    <mergeCell ref="D96:D100"/>
    <mergeCell ref="E97:J97"/>
    <mergeCell ref="C73:C77"/>
    <mergeCell ref="D73:D77"/>
    <mergeCell ref="E74:J74"/>
    <mergeCell ref="K74:L75"/>
    <mergeCell ref="E75:G75"/>
    <mergeCell ref="H75:H77"/>
    <mergeCell ref="I75:I77"/>
    <mergeCell ref="K76:K77"/>
    <mergeCell ref="L76:L77"/>
    <mergeCell ref="C209:H209"/>
    <mergeCell ref="B211:D211"/>
    <mergeCell ref="B212:D212"/>
    <mergeCell ref="A174:A177"/>
    <mergeCell ref="B174:B177"/>
    <mergeCell ref="C174:C177"/>
    <mergeCell ref="D174:D177"/>
    <mergeCell ref="E174:L174"/>
    <mergeCell ref="E175:J175"/>
    <mergeCell ref="K175:L176"/>
    <mergeCell ref="E176:G176"/>
    <mergeCell ref="H176:H177"/>
    <mergeCell ref="I176:I177"/>
    <mergeCell ref="J176:J177"/>
    <mergeCell ref="E221:G221"/>
    <mergeCell ref="B217:G217"/>
    <mergeCell ref="C223:G223"/>
    <mergeCell ref="B224:C224"/>
    <mergeCell ref="D224:E224"/>
    <mergeCell ref="F224:G224"/>
    <mergeCell ref="F211:G211"/>
    <mergeCell ref="F212:G212"/>
    <mergeCell ref="F213:G213"/>
    <mergeCell ref="F214:G214"/>
    <mergeCell ref="F215:G215"/>
    <mergeCell ref="E219:G220"/>
    <mergeCell ref="B213:D213"/>
    <mergeCell ref="B214:D214"/>
    <mergeCell ref="B215:D215"/>
    <mergeCell ref="B230:G230"/>
    <mergeCell ref="A231:A232"/>
    <mergeCell ref="B231:C232"/>
    <mergeCell ref="B227:C227"/>
    <mergeCell ref="D227:E227"/>
    <mergeCell ref="B228:C228"/>
    <mergeCell ref="D228:E228"/>
    <mergeCell ref="B225:C225"/>
    <mergeCell ref="D225:E225"/>
    <mergeCell ref="B226:C226"/>
    <mergeCell ref="D226:E226"/>
    <mergeCell ref="F228:G228"/>
    <mergeCell ref="F227:G227"/>
    <mergeCell ref="F226:G226"/>
    <mergeCell ref="F225:G225"/>
    <mergeCell ref="B235:G235"/>
    <mergeCell ref="B236:C236"/>
    <mergeCell ref="D236:E236"/>
    <mergeCell ref="F236:G236"/>
    <mergeCell ref="B234:C234"/>
    <mergeCell ref="D231:E232"/>
    <mergeCell ref="F231:G232"/>
    <mergeCell ref="D234:E234"/>
    <mergeCell ref="F234:G234"/>
    <mergeCell ref="A233:G233"/>
    <mergeCell ref="B248:G248"/>
    <mergeCell ref="A249:A250"/>
    <mergeCell ref="B249:D250"/>
    <mergeCell ref="E249:G250"/>
    <mergeCell ref="C238:G239"/>
    <mergeCell ref="A241:A242"/>
    <mergeCell ref="A243:A246"/>
    <mergeCell ref="B241:E242"/>
    <mergeCell ref="F241:G242"/>
    <mergeCell ref="B243:E246"/>
    <mergeCell ref="F243:G246"/>
    <mergeCell ref="B259:C259"/>
    <mergeCell ref="B260:C260"/>
    <mergeCell ref="B254:D254"/>
    <mergeCell ref="E254:G254"/>
    <mergeCell ref="B255:D255"/>
    <mergeCell ref="E255:G255"/>
    <mergeCell ref="C258:G258"/>
    <mergeCell ref="B251:D251"/>
    <mergeCell ref="E251:G251"/>
    <mergeCell ref="B252:D252"/>
    <mergeCell ref="E252:G252"/>
    <mergeCell ref="B253:D253"/>
    <mergeCell ref="E253:G253"/>
    <mergeCell ref="B279:C279"/>
    <mergeCell ref="B280:C280"/>
    <mergeCell ref="B277:C277"/>
    <mergeCell ref="B278:C278"/>
    <mergeCell ref="B275:C275"/>
    <mergeCell ref="B276:C276"/>
    <mergeCell ref="B273:C273"/>
    <mergeCell ref="B274:C274"/>
    <mergeCell ref="B271:C271"/>
    <mergeCell ref="B272:C272"/>
    <mergeCell ref="B269:C269"/>
    <mergeCell ref="B270:C270"/>
    <mergeCell ref="B267:C267"/>
    <mergeCell ref="B268:C268"/>
    <mergeCell ref="B265:C265"/>
    <mergeCell ref="B266:C266"/>
    <mergeCell ref="B263:C263"/>
    <mergeCell ref="B264:C264"/>
    <mergeCell ref="B261:C261"/>
    <mergeCell ref="B262:C262"/>
    <mergeCell ref="B56:I56"/>
    <mergeCell ref="B57:I57"/>
    <mergeCell ref="B58:I58"/>
    <mergeCell ref="B59:I59"/>
    <mergeCell ref="B60:I60"/>
    <mergeCell ref="B61:I61"/>
    <mergeCell ref="B62:I62"/>
    <mergeCell ref="B63:I63"/>
    <mergeCell ref="B64:I64"/>
    <mergeCell ref="J56:K56"/>
    <mergeCell ref="J55:K55"/>
    <mergeCell ref="J54:K54"/>
    <mergeCell ref="J53:K53"/>
    <mergeCell ref="J52:K52"/>
    <mergeCell ref="J61:K61"/>
    <mergeCell ref="J60:K60"/>
    <mergeCell ref="J59:K59"/>
    <mergeCell ref="J58:K58"/>
    <mergeCell ref="J57:K57"/>
    <mergeCell ref="J46:K46"/>
    <mergeCell ref="J45:K45"/>
    <mergeCell ref="J44:K44"/>
    <mergeCell ref="J42:K42"/>
    <mergeCell ref="J51:K51"/>
    <mergeCell ref="J50:K50"/>
    <mergeCell ref="J49:K49"/>
    <mergeCell ref="J48:K48"/>
    <mergeCell ref="J47:K47"/>
    <mergeCell ref="J28:K28"/>
    <mergeCell ref="J27:K27"/>
    <mergeCell ref="J36:K36"/>
    <mergeCell ref="J35:K35"/>
    <mergeCell ref="J34:K34"/>
    <mergeCell ref="J33:K33"/>
    <mergeCell ref="J32:K32"/>
    <mergeCell ref="J41:K41"/>
    <mergeCell ref="J40:K40"/>
    <mergeCell ref="J39:K39"/>
    <mergeCell ref="J38:K38"/>
    <mergeCell ref="J37:K37"/>
    <mergeCell ref="A298:A299"/>
    <mergeCell ref="B301:C301"/>
    <mergeCell ref="B302:C302"/>
    <mergeCell ref="J10:K10"/>
    <mergeCell ref="J9:K9"/>
    <mergeCell ref="J8:K8"/>
    <mergeCell ref="J16:K16"/>
    <mergeCell ref="J15:K15"/>
    <mergeCell ref="J14:K14"/>
    <mergeCell ref="J13:K13"/>
    <mergeCell ref="J12:K12"/>
    <mergeCell ref="J21:K21"/>
    <mergeCell ref="J20:K20"/>
    <mergeCell ref="J19:K19"/>
    <mergeCell ref="J18:K18"/>
    <mergeCell ref="J17:K17"/>
    <mergeCell ref="J26:K26"/>
    <mergeCell ref="J25:K25"/>
    <mergeCell ref="J24:K24"/>
    <mergeCell ref="J23:K23"/>
    <mergeCell ref="J22:K22"/>
    <mergeCell ref="J31:K31"/>
    <mergeCell ref="J30:K30"/>
    <mergeCell ref="J29:K29"/>
    <mergeCell ref="B319:D319"/>
    <mergeCell ref="B320:D320"/>
    <mergeCell ref="B321:D321"/>
    <mergeCell ref="B322:D322"/>
    <mergeCell ref="B323:D323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4:F314"/>
    <mergeCell ref="B22:I22"/>
    <mergeCell ref="B23:I23"/>
    <mergeCell ref="B24:I24"/>
    <mergeCell ref="B25:I25"/>
    <mergeCell ref="B26:I26"/>
    <mergeCell ref="B315:D315"/>
    <mergeCell ref="B316:D316"/>
    <mergeCell ref="B317:D317"/>
    <mergeCell ref="B318:D318"/>
    <mergeCell ref="B303:C303"/>
    <mergeCell ref="B304:C304"/>
    <mergeCell ref="B305:C305"/>
    <mergeCell ref="B306:C306"/>
    <mergeCell ref="B300:C300"/>
    <mergeCell ref="B308:F308"/>
    <mergeCell ref="B296:F296"/>
    <mergeCell ref="B297:F297"/>
    <mergeCell ref="E298:F298"/>
    <mergeCell ref="D298:D299"/>
    <mergeCell ref="B298:C299"/>
    <mergeCell ref="B52:I52"/>
    <mergeCell ref="B53:I53"/>
    <mergeCell ref="B54:I54"/>
    <mergeCell ref="B55:I55"/>
    <mergeCell ref="B65:I65"/>
    <mergeCell ref="B66:I66"/>
    <mergeCell ref="B67:I67"/>
    <mergeCell ref="B68:I68"/>
    <mergeCell ref="D4:G4"/>
    <mergeCell ref="B324:D324"/>
    <mergeCell ref="B325:D325"/>
    <mergeCell ref="B326:D326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</mergeCells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2016-02-15T12:25:33Z</dcterms:modified>
</cp:coreProperties>
</file>